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M:\CASH_REPORTING\Cash Report Workpapers 2026-27\03 June\Exhibits and Schedules\"/>
    </mc:Choice>
  </mc:AlternateContent>
  <xr:revisionPtr revIDLastSave="0" documentId="8_{554D80E4-A9E5-4CDC-AF75-2591FA2C7910}" xr6:coauthVersionLast="47" xr6:coauthVersionMax="47" xr10:uidLastSave="{00000000-0000-0000-0000-000000000000}"/>
  <bookViews>
    <workbookView xWindow="-120" yWindow="-120" windowWidth="29040" windowHeight="15720" tabRatio="776" xr2:uid="{22AD8508-5858-422F-9A7A-F5594E37D8AE}"/>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'!$A$3:$AK$68</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F'!$A$2:$P$300</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Fund'!$A$3:$K$59</definedName>
    <definedName name="_xlnm.Print_Area" localSheetId="6">'Exh D Governmental  '!$A$3:$K$54</definedName>
    <definedName name="_xlnm.Print_Area" localSheetId="9">'Exh D Special Revenue'!$A$3:$O$47</definedName>
    <definedName name="_xlnm.Print_Area" localSheetId="10">'Exh D Special Revenue State Fed'!$A$3:$X$45</definedName>
    <definedName name="_xlnm.Print_Area" localSheetId="7">'Exh D State Operating'!$A$3:$K$57</definedName>
    <definedName name="_xlnm.Print_Area" localSheetId="1">'Exhibit A'!$A$3:$AI$60</definedName>
    <definedName name="_xlnm.Print_Area" localSheetId="14">'EXHIBIT E '!$A$3:$AK$68</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DISB'!$A$3:$D$71</definedName>
    <definedName name="_xlnm.Print_Area" localSheetId="39">'Medicaid Disp Share'!$B$2:$K$52</definedName>
    <definedName name="_xlnm.Print_Area" localSheetId="38">'Public Goods '!$A$3:$K$53</definedName>
    <definedName name="_xlnm.Print_Area" localSheetId="29">'Sch 1 '!$A$3:$L$158</definedName>
    <definedName name="_xlnm.Print_Area" localSheetId="30">'Sch 2 '!$A$3:$K$47</definedName>
    <definedName name="_xlnm.Print_Area" localSheetId="31">'Sch 3 '!$A$2:$M$49</definedName>
    <definedName name="_xlnm.Print_Area" localSheetId="32">'Sch 4'!$A$3:$K$34</definedName>
    <definedName name="_xlnm.Print_Area" localSheetId="33">'Sch 5 '!$A$3:$S$70</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'!$A$3:$AK$68</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CD6F1AC_054B_4076_AF07_B77CADF2C1A5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'!$A$3:$AK$68</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DF171D7_3BFC_49F6_B708_0F91FCFAB6E2_.wvu.FilterData" localSheetId="11" hidden="1">'Exh D Debt Service'!$A$3:$A$7</definedName>
    <definedName name="Z_1DF171D7_3BFC_49F6_B708_0F91FCFAB6E2_.wvu.FilterData" localSheetId="8" hidden="1">'Exh D General Fund'!$A$3:$A$7</definedName>
    <definedName name="Z_1DF171D7_3BFC_49F6_B708_0F91FCFAB6E2_.wvu.PrintArea" localSheetId="40" hidden="1">'Appendix E'!$A$2:$AA$30</definedName>
    <definedName name="Z_1DF171D7_3BFC_49F6_B708_0F91FCFAB6E2_.wvu.PrintArea" localSheetId="41" hidden="1">'Appendix F'!$A$2:$P$300</definedName>
    <definedName name="Z_1DF171D7_3BFC_49F6_B708_0F91FCFAB6E2_.wvu.PrintArea" localSheetId="42" hidden="1">'Appendix G'!$A$3:$Z$60</definedName>
    <definedName name="Z_1DF171D7_3BFC_49F6_B708_0F91FCFAB6E2_.wvu.PrintArea" localSheetId="43" hidden="1">'Appendix H'!$A$3:$I$63</definedName>
    <definedName name="Z_1DF171D7_3BFC_49F6_B708_0F91FCFAB6E2_.wvu.PrintArea" localSheetId="44" hidden="1">'Appendix I'!$A$3:$I$36</definedName>
    <definedName name="Z_1DF171D7_3BFC_49F6_B708_0F91FCFAB6E2_.wvu.PrintArea" localSheetId="16" hidden="1">'Cash Flow State Operating'!$A$3:$AJ$152</definedName>
    <definedName name="Z_1DF171D7_3BFC_49F6_B708_0F91FCFAB6E2_.wvu.PrintArea" localSheetId="15" hidden="1">'Cashflow Governmental'!$A$3:$AJ$151</definedName>
    <definedName name="Z_1DF171D7_3BFC_49F6_B708_0F91FCFAB6E2_.wvu.PrintArea" localSheetId="2" hidden="1">'Exh A Supp'!$A$3:$AF$63</definedName>
    <definedName name="Z_1DF171D7_3BFC_49F6_B708_0F91FCFAB6E2_.wvu.PrintArea" localSheetId="4" hidden="1">'Exh B'!$A$3:$Z$47</definedName>
    <definedName name="Z_1DF171D7_3BFC_49F6_B708_0F91FCFAB6E2_.wvu.PrintArea" localSheetId="5" hidden="1">'Exh C'!$A$3:$Y$44</definedName>
    <definedName name="Z_1DF171D7_3BFC_49F6_B708_0F91FCFAB6E2_.wvu.PrintArea" localSheetId="12" hidden="1">'Exh D Capital Projects'!$A$3:$O$46</definedName>
    <definedName name="Z_1DF171D7_3BFC_49F6_B708_0F91FCFAB6E2_.wvu.PrintArea" localSheetId="13" hidden="1">'Exh D Captl Projects State Fed'!$A$3:$X$46</definedName>
    <definedName name="Z_1DF171D7_3BFC_49F6_B708_0F91FCFAB6E2_.wvu.PrintArea" localSheetId="11" hidden="1">'Exh D Debt Service'!$A$3:$K$44</definedName>
    <definedName name="Z_1DF171D7_3BFC_49F6_B708_0F91FCFAB6E2_.wvu.PrintArea" localSheetId="8" hidden="1">'Exh D General Fund'!$A$3:$K$59</definedName>
    <definedName name="Z_1DF171D7_3BFC_49F6_B708_0F91FCFAB6E2_.wvu.PrintArea" localSheetId="6" hidden="1">'Exh D Governmental  '!$A$3:$K$54</definedName>
    <definedName name="Z_1DF171D7_3BFC_49F6_B708_0F91FCFAB6E2_.wvu.PrintArea" localSheetId="9" hidden="1">'Exh D Special Revenue'!$A$3:$O$47</definedName>
    <definedName name="Z_1DF171D7_3BFC_49F6_B708_0F91FCFAB6E2_.wvu.PrintArea" localSheetId="10" hidden="1">'Exh D Special Revenue State Fed'!$A$3:$X$45</definedName>
    <definedName name="Z_1DF171D7_3BFC_49F6_B708_0F91FCFAB6E2_.wvu.PrintArea" localSheetId="7" hidden="1">'Exh D State Operating'!$A$3:$K$57</definedName>
    <definedName name="Z_1DF171D7_3BFC_49F6_B708_0F91FCFAB6E2_.wvu.PrintArea" localSheetId="1" hidden="1">'Exhibit A'!$A$3:$AI$60</definedName>
    <definedName name="Z_1DF171D7_3BFC_49F6_B708_0F91FCFAB6E2_.wvu.PrintArea" localSheetId="14" hidden="1">'EXHIBIT E '!$A$3:$AK$68</definedName>
    <definedName name="Z_1DF171D7_3BFC_49F6_B708_0F91FCFAB6E2_.wvu.PrintArea" localSheetId="17" hidden="1">'Exhibit F'!$B$3:$AK$146</definedName>
    <definedName name="Z_1DF171D7_3BFC_49F6_B708_0F91FCFAB6E2_.wvu.PrintArea" localSheetId="18" hidden="1">'Exhibit G'!$B$3:$AM$127</definedName>
    <definedName name="Z_1DF171D7_3BFC_49F6_B708_0F91FCFAB6E2_.wvu.PrintArea" localSheetId="20" hidden="1">'Exhibit G Federal'!$B$2:$AK$96</definedName>
    <definedName name="Z_1DF171D7_3BFC_49F6_B708_0F91FCFAB6E2_.wvu.PrintArea" localSheetId="19" hidden="1">'Exhibit G State'!$B$3:$AK$123</definedName>
    <definedName name="Z_1DF171D7_3BFC_49F6_B708_0F91FCFAB6E2_.wvu.PrintArea" localSheetId="21" hidden="1">'Exhibit H'!$A$2:$AI$79</definedName>
    <definedName name="Z_1DF171D7_3BFC_49F6_B708_0F91FCFAB6E2_.wvu.PrintArea" localSheetId="22" hidden="1">'Exhibit I'!$B$3:$AN$102</definedName>
    <definedName name="Z_1DF171D7_3BFC_49F6_B708_0F91FCFAB6E2_.wvu.PrintArea" localSheetId="24" hidden="1">'Exhibit I Federal'!$B$3:$AL$84</definedName>
    <definedName name="Z_1DF171D7_3BFC_49F6_B708_0F91FCFAB6E2_.wvu.PrintArea" localSheetId="23" hidden="1">'Exhibit I State'!$B$3:$AL$101</definedName>
    <definedName name="Z_1DF171D7_3BFC_49F6_B708_0F91FCFAB6E2_.wvu.PrintArea" localSheetId="25" hidden="1">'Exhibit J'!$A$3:$AJ$52</definedName>
    <definedName name="Z_1DF171D7_3BFC_49F6_B708_0F91FCFAB6E2_.wvu.PrintArea" localSheetId="26" hidden="1">'Exhibit K'!$A$3:$AI$49</definedName>
    <definedName name="Z_1DF171D7_3BFC_49F6_B708_0F91FCFAB6E2_.wvu.PrintArea" localSheetId="27" hidden="1">'Exhibit L'!$A$3:$AI$47</definedName>
    <definedName name="Z_1DF171D7_3BFC_49F6_B708_0F91FCFAB6E2_.wvu.PrintArea" localSheetId="28" hidden="1">'Exhibit M'!$A$3:$AI$47</definedName>
    <definedName name="Z_1DF171D7_3BFC_49F6_B708_0F91FCFAB6E2_.wvu.PrintArea" localSheetId="3" hidden="1">Footnotes!$A$2:$O$60</definedName>
    <definedName name="Z_1DF171D7_3BFC_49F6_B708_0F91FCFAB6E2_.wvu.PrintArea" localSheetId="36" hidden="1">'HCRA '!$A$3:$Z$63</definedName>
    <definedName name="Z_1DF171D7_3BFC_49F6_B708_0F91FCFAB6E2_.wvu.PrintArea" localSheetId="37" hidden="1">'HCRA PROG DISB'!$A$3:$D$71</definedName>
    <definedName name="Z_1DF171D7_3BFC_49F6_B708_0F91FCFAB6E2_.wvu.PrintArea" localSheetId="39" hidden="1">'Medicaid Disp Share'!$B$2:$K$52</definedName>
    <definedName name="Z_1DF171D7_3BFC_49F6_B708_0F91FCFAB6E2_.wvu.PrintArea" localSheetId="38" hidden="1">'Public Goods '!$A$3:$K$53</definedName>
    <definedName name="Z_1DF171D7_3BFC_49F6_B708_0F91FCFAB6E2_.wvu.PrintArea" localSheetId="29" hidden="1">'Sch 1 '!$A$3:$L$158</definedName>
    <definedName name="Z_1DF171D7_3BFC_49F6_B708_0F91FCFAB6E2_.wvu.PrintArea" localSheetId="30" hidden="1">'Sch 2 '!$A$3:$K$47</definedName>
    <definedName name="Z_1DF171D7_3BFC_49F6_B708_0F91FCFAB6E2_.wvu.PrintArea" localSheetId="31" hidden="1">'Sch 3 '!$A$2:$M$49</definedName>
    <definedName name="Z_1DF171D7_3BFC_49F6_B708_0F91FCFAB6E2_.wvu.PrintArea" localSheetId="32" hidden="1">'Sch 4'!$A$3:$K$34</definedName>
    <definedName name="Z_1DF171D7_3BFC_49F6_B708_0F91FCFAB6E2_.wvu.PrintArea" localSheetId="33" hidden="1">'Sch 5 '!$A$3:$S$70</definedName>
    <definedName name="Z_1DF171D7_3BFC_49F6_B708_0F91FCFAB6E2_.wvu.PrintArea" localSheetId="34" hidden="1">'Sch 5a'!$B$3:$R$33</definedName>
    <definedName name="Z_1DF171D7_3BFC_49F6_B708_0F91FCFAB6E2_.wvu.PrintArea" localSheetId="35" hidden="1">'Sch 6'!$B$3:$K$38</definedName>
    <definedName name="Z_1DF171D7_3BFC_49F6_B708_0F91FCFAB6E2_.wvu.PrintArea" localSheetId="0" hidden="1">'Table of Contents'!$A$1:$J$66</definedName>
    <definedName name="Z_1DF171D7_3BFC_49F6_B708_0F91FCFAB6E2_.wvu.PrintTitles" localSheetId="41" hidden="1">'Appendix F'!$2:$8</definedName>
    <definedName name="Z_1DF171D7_3BFC_49F6_B708_0F91FCFAB6E2_.wvu.PrintTitles" localSheetId="16" hidden="1">'Cash Flow State Operating'!$3:$15</definedName>
    <definedName name="Z_1DF171D7_3BFC_49F6_B708_0F91FCFAB6E2_.wvu.PrintTitles" localSheetId="15" hidden="1">'Cashflow Governmental'!$3:$15</definedName>
    <definedName name="Z_1DF171D7_3BFC_49F6_B708_0F91FCFAB6E2_.wvu.PrintTitles" localSheetId="17" hidden="1">'Exhibit F'!$3:$12</definedName>
    <definedName name="Z_1DF171D7_3BFC_49F6_B708_0F91FCFAB6E2_.wvu.PrintTitles" localSheetId="18" hidden="1">'Exhibit G'!$3:$12</definedName>
    <definedName name="Z_1DF171D7_3BFC_49F6_B708_0F91FCFAB6E2_.wvu.PrintTitles" localSheetId="20" hidden="1">'Exhibit G Federal'!$3:$12</definedName>
    <definedName name="Z_1DF171D7_3BFC_49F6_B708_0F91FCFAB6E2_.wvu.PrintTitles" localSheetId="19" hidden="1">'Exhibit G State'!$3:$12</definedName>
    <definedName name="Z_1DF171D7_3BFC_49F6_B708_0F91FCFAB6E2_.wvu.PrintTitles" localSheetId="21" hidden="1">'Exhibit H'!$3:$11</definedName>
    <definedName name="Z_1DF171D7_3BFC_49F6_B708_0F91FCFAB6E2_.wvu.PrintTitles" localSheetId="22" hidden="1">'Exhibit I'!$3:$11</definedName>
    <definedName name="Z_1DF171D7_3BFC_49F6_B708_0F91FCFAB6E2_.wvu.PrintTitles" localSheetId="24" hidden="1">'Exhibit I Federal'!$3:$12</definedName>
    <definedName name="Z_1DF171D7_3BFC_49F6_B708_0F91FCFAB6E2_.wvu.PrintTitles" localSheetId="23" hidden="1">'Exhibit I State'!$3:$12</definedName>
    <definedName name="Z_1DF171D7_3BFC_49F6_B708_0F91FCFAB6E2_.wvu.PrintTitles" localSheetId="3" hidden="1">Footnotes!$2:$3</definedName>
    <definedName name="Z_1DF171D7_3BFC_49F6_B708_0F91FCFAB6E2_.wvu.PrintTitles" localSheetId="37" hidden="1">'HCRA PROG DISB'!$3:$8</definedName>
    <definedName name="Z_1DF171D7_3BFC_49F6_B708_0F91FCFAB6E2_.wvu.PrintTitles" localSheetId="38" hidden="1">'Public Goods '!$5:$11</definedName>
    <definedName name="Z_1DF171D7_3BFC_49F6_B708_0F91FCFAB6E2_.wvu.PrintTitles" localSheetId="29" hidden="1">'Sch 1 '!$3:$11</definedName>
    <definedName name="Z_1DF171D7_3BFC_49F6_B708_0F91FCFAB6E2_.wvu.PrintTitles" localSheetId="0" hidden="1">'Table of Contents'!$1:$12</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'!$A$3:$AK$68</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A50DD26_AAF5_43D4_97DE_BAE3367A2F29_.wvu.FilterData" localSheetId="11" hidden="1">'Exh D Debt Service'!$A$3:$A$7</definedName>
    <definedName name="Z_3A50DD26_AAF5_43D4_97DE_BAE3367A2F29_.wvu.FilterData" localSheetId="8" hidden="1">'Exh D General Fund'!$A$3:$A$7</definedName>
    <definedName name="Z_3A50DD26_AAF5_43D4_97DE_BAE3367A2F29_.wvu.PrintArea" localSheetId="40" hidden="1">'Appendix E'!$A$2:$AA$30</definedName>
    <definedName name="Z_3A50DD26_AAF5_43D4_97DE_BAE3367A2F29_.wvu.PrintArea" localSheetId="41" hidden="1">'Appendix F'!$A$2:$P$300</definedName>
    <definedName name="Z_3A50DD26_AAF5_43D4_97DE_BAE3367A2F29_.wvu.PrintArea" localSheetId="42" hidden="1">'Appendix G'!$A$3:$Z$60</definedName>
    <definedName name="Z_3A50DD26_AAF5_43D4_97DE_BAE3367A2F29_.wvu.PrintArea" localSheetId="43" hidden="1">'Appendix H'!$A$3:$I$63</definedName>
    <definedName name="Z_3A50DD26_AAF5_43D4_97DE_BAE3367A2F29_.wvu.PrintArea" localSheetId="44" hidden="1">'Appendix I'!$A$3:$I$36</definedName>
    <definedName name="Z_3A50DD26_AAF5_43D4_97DE_BAE3367A2F29_.wvu.PrintArea" localSheetId="16" hidden="1">'Cash Flow State Operating'!$A$3:$AJ$152</definedName>
    <definedName name="Z_3A50DD26_AAF5_43D4_97DE_BAE3367A2F29_.wvu.PrintArea" localSheetId="15" hidden="1">'Cashflow Governmental'!$A$3:$AJ$151</definedName>
    <definedName name="Z_3A50DD26_AAF5_43D4_97DE_BAE3367A2F29_.wvu.PrintArea" localSheetId="2" hidden="1">'Exh A Supp'!$A$3:$AF$63</definedName>
    <definedName name="Z_3A50DD26_AAF5_43D4_97DE_BAE3367A2F29_.wvu.PrintArea" localSheetId="4" hidden="1">'Exh B'!$A$3:$Z$47</definedName>
    <definedName name="Z_3A50DD26_AAF5_43D4_97DE_BAE3367A2F29_.wvu.PrintArea" localSheetId="5" hidden="1">'Exh C'!$A$3:$Y$44</definedName>
    <definedName name="Z_3A50DD26_AAF5_43D4_97DE_BAE3367A2F29_.wvu.PrintArea" localSheetId="12" hidden="1">'Exh D Capital Projects'!$A$3:$O$46</definedName>
    <definedName name="Z_3A50DD26_AAF5_43D4_97DE_BAE3367A2F29_.wvu.PrintArea" localSheetId="13" hidden="1">'Exh D Captl Projects State Fed'!$A$3:$X$46</definedName>
    <definedName name="Z_3A50DD26_AAF5_43D4_97DE_BAE3367A2F29_.wvu.PrintArea" localSheetId="11" hidden="1">'Exh D Debt Service'!$A$3:$K$44</definedName>
    <definedName name="Z_3A50DD26_AAF5_43D4_97DE_BAE3367A2F29_.wvu.PrintArea" localSheetId="8" hidden="1">'Exh D General Fund'!$A$3:$K$59</definedName>
    <definedName name="Z_3A50DD26_AAF5_43D4_97DE_BAE3367A2F29_.wvu.PrintArea" localSheetId="6" hidden="1">'Exh D Governmental  '!$A$3:$K$54</definedName>
    <definedName name="Z_3A50DD26_AAF5_43D4_97DE_BAE3367A2F29_.wvu.PrintArea" localSheetId="9" hidden="1">'Exh D Special Revenue'!$A$3:$O$47</definedName>
    <definedName name="Z_3A50DD26_AAF5_43D4_97DE_BAE3367A2F29_.wvu.PrintArea" localSheetId="10" hidden="1">'Exh D Special Revenue State Fed'!$A$3:$X$45</definedName>
    <definedName name="Z_3A50DD26_AAF5_43D4_97DE_BAE3367A2F29_.wvu.PrintArea" localSheetId="7" hidden="1">'Exh D State Operating'!$A$3:$K$57</definedName>
    <definedName name="Z_3A50DD26_AAF5_43D4_97DE_BAE3367A2F29_.wvu.PrintArea" localSheetId="1" hidden="1">'Exhibit A'!$A$3:$AI$60</definedName>
    <definedName name="Z_3A50DD26_AAF5_43D4_97DE_BAE3367A2F29_.wvu.PrintArea" localSheetId="14" hidden="1">'EXHIBIT E '!$A$3:$AK$68</definedName>
    <definedName name="Z_3A50DD26_AAF5_43D4_97DE_BAE3367A2F29_.wvu.PrintArea" localSheetId="17" hidden="1">'Exhibit F'!$B$3:$AK$146</definedName>
    <definedName name="Z_3A50DD26_AAF5_43D4_97DE_BAE3367A2F29_.wvu.PrintArea" localSheetId="18" hidden="1">'Exhibit G'!$B$3:$AM$127</definedName>
    <definedName name="Z_3A50DD26_AAF5_43D4_97DE_BAE3367A2F29_.wvu.PrintArea" localSheetId="20" hidden="1">'Exhibit G Federal'!$B$2:$AK$96</definedName>
    <definedName name="Z_3A50DD26_AAF5_43D4_97DE_BAE3367A2F29_.wvu.PrintArea" localSheetId="19" hidden="1">'Exhibit G State'!$B$3:$AK$123</definedName>
    <definedName name="Z_3A50DD26_AAF5_43D4_97DE_BAE3367A2F29_.wvu.PrintArea" localSheetId="21" hidden="1">'Exhibit H'!$A$2:$AI$79</definedName>
    <definedName name="Z_3A50DD26_AAF5_43D4_97DE_BAE3367A2F29_.wvu.PrintArea" localSheetId="22" hidden="1">'Exhibit I'!$B$3:$AN$102</definedName>
    <definedName name="Z_3A50DD26_AAF5_43D4_97DE_BAE3367A2F29_.wvu.PrintArea" localSheetId="24" hidden="1">'Exhibit I Federal'!$B$3:$AL$84</definedName>
    <definedName name="Z_3A50DD26_AAF5_43D4_97DE_BAE3367A2F29_.wvu.PrintArea" localSheetId="23" hidden="1">'Exhibit I State'!$B$3:$AL$101</definedName>
    <definedName name="Z_3A50DD26_AAF5_43D4_97DE_BAE3367A2F29_.wvu.PrintArea" localSheetId="25" hidden="1">'Exhibit J'!$A$3:$AJ$52</definedName>
    <definedName name="Z_3A50DD26_AAF5_43D4_97DE_BAE3367A2F29_.wvu.PrintArea" localSheetId="26" hidden="1">'Exhibit K'!$A$3:$AI$49</definedName>
    <definedName name="Z_3A50DD26_AAF5_43D4_97DE_BAE3367A2F29_.wvu.PrintArea" localSheetId="27" hidden="1">'Exhibit L'!$A$3:$AI$47</definedName>
    <definedName name="Z_3A50DD26_AAF5_43D4_97DE_BAE3367A2F29_.wvu.PrintArea" localSheetId="28" hidden="1">'Exhibit M'!$A$3:$AI$47</definedName>
    <definedName name="Z_3A50DD26_AAF5_43D4_97DE_BAE3367A2F29_.wvu.PrintArea" localSheetId="3" hidden="1">Footnotes!$A$2:$O$60</definedName>
    <definedName name="Z_3A50DD26_AAF5_43D4_97DE_BAE3367A2F29_.wvu.PrintArea" localSheetId="36" hidden="1">'HCRA '!$A$3:$Z$63</definedName>
    <definedName name="Z_3A50DD26_AAF5_43D4_97DE_BAE3367A2F29_.wvu.PrintArea" localSheetId="37" hidden="1">'HCRA PROG DISB'!$A$3:$D$71</definedName>
    <definedName name="Z_3A50DD26_AAF5_43D4_97DE_BAE3367A2F29_.wvu.PrintArea" localSheetId="39" hidden="1">'Medicaid Disp Share'!$B$2:$K$52</definedName>
    <definedName name="Z_3A50DD26_AAF5_43D4_97DE_BAE3367A2F29_.wvu.PrintArea" localSheetId="38" hidden="1">'Public Goods '!$A$3:$K$53</definedName>
    <definedName name="Z_3A50DD26_AAF5_43D4_97DE_BAE3367A2F29_.wvu.PrintArea" localSheetId="29" hidden="1">'Sch 1 '!$A$3:$L$158</definedName>
    <definedName name="Z_3A50DD26_AAF5_43D4_97DE_BAE3367A2F29_.wvu.PrintArea" localSheetId="30" hidden="1">'Sch 2 '!$A$3:$K$47</definedName>
    <definedName name="Z_3A50DD26_AAF5_43D4_97DE_BAE3367A2F29_.wvu.PrintArea" localSheetId="31" hidden="1">'Sch 3 '!$A$2:$M$49</definedName>
    <definedName name="Z_3A50DD26_AAF5_43D4_97DE_BAE3367A2F29_.wvu.PrintArea" localSheetId="32" hidden="1">'Sch 4'!$A$3:$K$34</definedName>
    <definedName name="Z_3A50DD26_AAF5_43D4_97DE_BAE3367A2F29_.wvu.PrintArea" localSheetId="33" hidden="1">'Sch 5 '!$A$3:$S$70</definedName>
    <definedName name="Z_3A50DD26_AAF5_43D4_97DE_BAE3367A2F29_.wvu.PrintArea" localSheetId="34" hidden="1">'Sch 5a'!$B$3:$R$33</definedName>
    <definedName name="Z_3A50DD26_AAF5_43D4_97DE_BAE3367A2F29_.wvu.PrintArea" localSheetId="35" hidden="1">'Sch 6'!$B$3:$K$38</definedName>
    <definedName name="Z_3A50DD26_AAF5_43D4_97DE_BAE3367A2F29_.wvu.PrintArea" localSheetId="0" hidden="1">'Table of Contents'!$A$1:$J$66</definedName>
    <definedName name="Z_3A50DD26_AAF5_43D4_97DE_BAE3367A2F29_.wvu.PrintTitles" localSheetId="41" hidden="1">'Appendix F'!$2:$8</definedName>
    <definedName name="Z_3A50DD26_AAF5_43D4_97DE_BAE3367A2F29_.wvu.PrintTitles" localSheetId="16" hidden="1">'Cash Flow State Operating'!$3:$15</definedName>
    <definedName name="Z_3A50DD26_AAF5_43D4_97DE_BAE3367A2F29_.wvu.PrintTitles" localSheetId="15" hidden="1">'Cashflow Governmental'!$3:$15</definedName>
    <definedName name="Z_3A50DD26_AAF5_43D4_97DE_BAE3367A2F29_.wvu.PrintTitles" localSheetId="17" hidden="1">'Exhibit F'!$3:$12</definedName>
    <definedName name="Z_3A50DD26_AAF5_43D4_97DE_BAE3367A2F29_.wvu.PrintTitles" localSheetId="18" hidden="1">'Exhibit G'!$3:$12</definedName>
    <definedName name="Z_3A50DD26_AAF5_43D4_97DE_BAE3367A2F29_.wvu.PrintTitles" localSheetId="20" hidden="1">'Exhibit G Federal'!$3:$12</definedName>
    <definedName name="Z_3A50DD26_AAF5_43D4_97DE_BAE3367A2F29_.wvu.PrintTitles" localSheetId="19" hidden="1">'Exhibit G State'!$3:$12</definedName>
    <definedName name="Z_3A50DD26_AAF5_43D4_97DE_BAE3367A2F29_.wvu.PrintTitles" localSheetId="21" hidden="1">'Exhibit H'!$3:$11</definedName>
    <definedName name="Z_3A50DD26_AAF5_43D4_97DE_BAE3367A2F29_.wvu.PrintTitles" localSheetId="22" hidden="1">'Exhibit I'!$3:$11</definedName>
    <definedName name="Z_3A50DD26_AAF5_43D4_97DE_BAE3367A2F29_.wvu.PrintTitles" localSheetId="24" hidden="1">'Exhibit I Federal'!$3:$12</definedName>
    <definedName name="Z_3A50DD26_AAF5_43D4_97DE_BAE3367A2F29_.wvu.PrintTitles" localSheetId="23" hidden="1">'Exhibit I State'!$3:$12</definedName>
    <definedName name="Z_3A50DD26_AAF5_43D4_97DE_BAE3367A2F29_.wvu.PrintTitles" localSheetId="3" hidden="1">Footnotes!$2:$3</definedName>
    <definedName name="Z_3A50DD26_AAF5_43D4_97DE_BAE3367A2F29_.wvu.PrintTitles" localSheetId="37" hidden="1">'HCRA PROG DISB'!$3:$8</definedName>
    <definedName name="Z_3A50DD26_AAF5_43D4_97DE_BAE3367A2F29_.wvu.PrintTitles" localSheetId="38" hidden="1">'Public Goods '!$5:$11</definedName>
    <definedName name="Z_3A50DD26_AAF5_43D4_97DE_BAE3367A2F29_.wvu.PrintTitles" localSheetId="29" hidden="1">'Sch 1 '!$3:$11</definedName>
    <definedName name="Z_3A50DD26_AAF5_43D4_97DE_BAE3367A2F29_.wvu.PrintTitles" localSheetId="0" hidden="1">'Table of Contents'!$1:$12</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'!$A$3:$AK$68</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73C688_0265_40B1_AFA0_80AAC649D46E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'!$A$3:$AK$68</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'!$A$3:$AK$68</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69B98_1714_4D17_901F_87B47BE66947_.wvu.FilterData" localSheetId="11" hidden="1">'Exh D Debt Service'!$A$3:$A$7</definedName>
    <definedName name="Z_83D69B98_1714_4D17_901F_87B47BE66947_.wvu.FilterData" localSheetId="8" hidden="1">'Exh D General Fund'!$A$3:$A$7</definedName>
    <definedName name="Z_83D69B98_1714_4D17_901F_87B47BE66947_.wvu.PrintArea" localSheetId="40" hidden="1">'Appendix E'!$A$2:$AA$30</definedName>
    <definedName name="Z_83D69B98_1714_4D17_901F_87B47BE66947_.wvu.PrintArea" localSheetId="41" hidden="1">'Appendix F'!$A$2:$P$300</definedName>
    <definedName name="Z_83D69B98_1714_4D17_901F_87B47BE66947_.wvu.PrintArea" localSheetId="42" hidden="1">'Appendix G'!$A$3:$Z$60</definedName>
    <definedName name="Z_83D69B98_1714_4D17_901F_87B47BE66947_.wvu.PrintArea" localSheetId="43" hidden="1">'Appendix H'!$A$3:$I$63</definedName>
    <definedName name="Z_83D69B98_1714_4D17_901F_87B47BE66947_.wvu.PrintArea" localSheetId="44" hidden="1">'Appendix I'!$A$3:$I$36</definedName>
    <definedName name="Z_83D69B98_1714_4D17_901F_87B47BE66947_.wvu.PrintArea" localSheetId="16" hidden="1">'Cash Flow State Operating'!$A$3:$AJ$152</definedName>
    <definedName name="Z_83D69B98_1714_4D17_901F_87B47BE66947_.wvu.PrintArea" localSheetId="15" hidden="1">'Cashflow Governmental'!$A$3:$AJ$151</definedName>
    <definedName name="Z_83D69B98_1714_4D17_901F_87B47BE66947_.wvu.PrintArea" localSheetId="2" hidden="1">'Exh A Supp'!$A$3:$AF$63</definedName>
    <definedName name="Z_83D69B98_1714_4D17_901F_87B47BE66947_.wvu.PrintArea" localSheetId="4" hidden="1">'Exh B'!$A$3:$Z$47</definedName>
    <definedName name="Z_83D69B98_1714_4D17_901F_87B47BE66947_.wvu.PrintArea" localSheetId="5" hidden="1">'Exh C'!$A$3:$Y$44</definedName>
    <definedName name="Z_83D69B98_1714_4D17_901F_87B47BE66947_.wvu.PrintArea" localSheetId="12" hidden="1">'Exh D Capital Projects'!$A$3:$O$46</definedName>
    <definedName name="Z_83D69B98_1714_4D17_901F_87B47BE66947_.wvu.PrintArea" localSheetId="13" hidden="1">'Exh D Captl Projects State Fed'!$A$3:$X$46</definedName>
    <definedName name="Z_83D69B98_1714_4D17_901F_87B47BE66947_.wvu.PrintArea" localSheetId="11" hidden="1">'Exh D Debt Service'!$A$3:$K$44</definedName>
    <definedName name="Z_83D69B98_1714_4D17_901F_87B47BE66947_.wvu.PrintArea" localSheetId="8" hidden="1">'Exh D General Fund'!$A$3:$K$59</definedName>
    <definedName name="Z_83D69B98_1714_4D17_901F_87B47BE66947_.wvu.PrintArea" localSheetId="6" hidden="1">'Exh D Governmental  '!$A$3:$K$54</definedName>
    <definedName name="Z_83D69B98_1714_4D17_901F_87B47BE66947_.wvu.PrintArea" localSheetId="9" hidden="1">'Exh D Special Revenue'!$A$3:$O$47</definedName>
    <definedName name="Z_83D69B98_1714_4D17_901F_87B47BE66947_.wvu.PrintArea" localSheetId="10" hidden="1">'Exh D Special Revenue State Fed'!$A$3:$X$45</definedName>
    <definedName name="Z_83D69B98_1714_4D17_901F_87B47BE66947_.wvu.PrintArea" localSheetId="7" hidden="1">'Exh D State Operating'!$A$3:$K$57</definedName>
    <definedName name="Z_83D69B98_1714_4D17_901F_87B47BE66947_.wvu.PrintArea" localSheetId="1" hidden="1">'Exhibit A'!$A$3:$AI$60</definedName>
    <definedName name="Z_83D69B98_1714_4D17_901F_87B47BE66947_.wvu.PrintArea" localSheetId="14" hidden="1">'EXHIBIT E '!$A$3:$AK$68</definedName>
    <definedName name="Z_83D69B98_1714_4D17_901F_87B47BE66947_.wvu.PrintArea" localSheetId="17" hidden="1">'Exhibit F'!$B$3:$AK$146</definedName>
    <definedName name="Z_83D69B98_1714_4D17_901F_87B47BE66947_.wvu.PrintArea" localSheetId="18" hidden="1">'Exhibit G'!$B$3:$AM$127</definedName>
    <definedName name="Z_83D69B98_1714_4D17_901F_87B47BE66947_.wvu.PrintArea" localSheetId="20" hidden="1">'Exhibit G Federal'!$B$2:$AK$96</definedName>
    <definedName name="Z_83D69B98_1714_4D17_901F_87B47BE66947_.wvu.PrintArea" localSheetId="19" hidden="1">'Exhibit G State'!$B$3:$AK$123</definedName>
    <definedName name="Z_83D69B98_1714_4D17_901F_87B47BE66947_.wvu.PrintArea" localSheetId="21" hidden="1">'Exhibit H'!$A$2:$AI$79</definedName>
    <definedName name="Z_83D69B98_1714_4D17_901F_87B47BE66947_.wvu.PrintArea" localSheetId="22" hidden="1">'Exhibit I'!$B$3:$AN$102</definedName>
    <definedName name="Z_83D69B98_1714_4D17_901F_87B47BE66947_.wvu.PrintArea" localSheetId="24" hidden="1">'Exhibit I Federal'!$B$3:$AL$84</definedName>
    <definedName name="Z_83D69B98_1714_4D17_901F_87B47BE66947_.wvu.PrintArea" localSheetId="23" hidden="1">'Exhibit I State'!$B$3:$AL$101</definedName>
    <definedName name="Z_83D69B98_1714_4D17_901F_87B47BE66947_.wvu.PrintArea" localSheetId="25" hidden="1">'Exhibit J'!$A$3:$AJ$52</definedName>
    <definedName name="Z_83D69B98_1714_4D17_901F_87B47BE66947_.wvu.PrintArea" localSheetId="26" hidden="1">'Exhibit K'!$A$3:$AI$49</definedName>
    <definedName name="Z_83D69B98_1714_4D17_901F_87B47BE66947_.wvu.PrintArea" localSheetId="27" hidden="1">'Exhibit L'!$A$3:$AI$47</definedName>
    <definedName name="Z_83D69B98_1714_4D17_901F_87B47BE66947_.wvu.PrintArea" localSheetId="28" hidden="1">'Exhibit M'!$A$3:$AI$47</definedName>
    <definedName name="Z_83D69B98_1714_4D17_901F_87B47BE66947_.wvu.PrintArea" localSheetId="3" hidden="1">Footnotes!$A$2:$O$60</definedName>
    <definedName name="Z_83D69B98_1714_4D17_901F_87B47BE66947_.wvu.PrintArea" localSheetId="36" hidden="1">'HCRA '!$A$3:$Z$63</definedName>
    <definedName name="Z_83D69B98_1714_4D17_901F_87B47BE66947_.wvu.PrintArea" localSheetId="37" hidden="1">'HCRA PROG DISB'!$A$3:$D$71</definedName>
    <definedName name="Z_83D69B98_1714_4D17_901F_87B47BE66947_.wvu.PrintArea" localSheetId="39" hidden="1">'Medicaid Disp Share'!$B$2:$K$52</definedName>
    <definedName name="Z_83D69B98_1714_4D17_901F_87B47BE66947_.wvu.PrintArea" localSheetId="38" hidden="1">'Public Goods '!$A$3:$K$53</definedName>
    <definedName name="Z_83D69B98_1714_4D17_901F_87B47BE66947_.wvu.PrintArea" localSheetId="29" hidden="1">'Sch 1 '!$A$3:$L$158</definedName>
    <definedName name="Z_83D69B98_1714_4D17_901F_87B47BE66947_.wvu.PrintArea" localSheetId="30" hidden="1">'Sch 2 '!$A$3:$K$47</definedName>
    <definedName name="Z_83D69B98_1714_4D17_901F_87B47BE66947_.wvu.PrintArea" localSheetId="31" hidden="1">'Sch 3 '!$A$2:$M$49</definedName>
    <definedName name="Z_83D69B98_1714_4D17_901F_87B47BE66947_.wvu.PrintArea" localSheetId="32" hidden="1">'Sch 4'!$A$3:$K$34</definedName>
    <definedName name="Z_83D69B98_1714_4D17_901F_87B47BE66947_.wvu.PrintArea" localSheetId="33" hidden="1">'Sch 5 '!$A$3:$S$70</definedName>
    <definedName name="Z_83D69B98_1714_4D17_901F_87B47BE66947_.wvu.PrintArea" localSheetId="34" hidden="1">'Sch 5a'!$B$3:$R$33</definedName>
    <definedName name="Z_83D69B98_1714_4D17_901F_87B47BE66947_.wvu.PrintArea" localSheetId="35" hidden="1">'Sch 6'!$B$3:$K$38</definedName>
    <definedName name="Z_83D69B98_1714_4D17_901F_87B47BE66947_.wvu.PrintArea" localSheetId="0" hidden="1">'Table of Contents'!$A$1:$J$66</definedName>
    <definedName name="Z_83D69B98_1714_4D17_901F_87B47BE66947_.wvu.PrintTitles" localSheetId="41" hidden="1">'Appendix F'!$2:$8</definedName>
    <definedName name="Z_83D69B98_1714_4D17_901F_87B47BE66947_.wvu.PrintTitles" localSheetId="16" hidden="1">'Cash Flow State Operating'!$3:$15</definedName>
    <definedName name="Z_83D69B98_1714_4D17_901F_87B47BE66947_.wvu.PrintTitles" localSheetId="15" hidden="1">'Cashflow Governmental'!$3:$15</definedName>
    <definedName name="Z_83D69B98_1714_4D17_901F_87B47BE66947_.wvu.PrintTitles" localSheetId="17" hidden="1">'Exhibit F'!$3:$12</definedName>
    <definedName name="Z_83D69B98_1714_4D17_901F_87B47BE66947_.wvu.PrintTitles" localSheetId="18" hidden="1">'Exhibit G'!$3:$12</definedName>
    <definedName name="Z_83D69B98_1714_4D17_901F_87B47BE66947_.wvu.PrintTitles" localSheetId="20" hidden="1">'Exhibit G Federal'!$3:$12</definedName>
    <definedName name="Z_83D69B98_1714_4D17_901F_87B47BE66947_.wvu.PrintTitles" localSheetId="19" hidden="1">'Exhibit G State'!$3:$12</definedName>
    <definedName name="Z_83D69B98_1714_4D17_901F_87B47BE66947_.wvu.PrintTitles" localSheetId="21" hidden="1">'Exhibit H'!$3:$11</definedName>
    <definedName name="Z_83D69B98_1714_4D17_901F_87B47BE66947_.wvu.PrintTitles" localSheetId="22" hidden="1">'Exhibit I'!$3:$11</definedName>
    <definedName name="Z_83D69B98_1714_4D17_901F_87B47BE66947_.wvu.PrintTitles" localSheetId="24" hidden="1">'Exhibit I Federal'!$3:$12</definedName>
    <definedName name="Z_83D69B98_1714_4D17_901F_87B47BE66947_.wvu.PrintTitles" localSheetId="23" hidden="1">'Exhibit I State'!$3:$12</definedName>
    <definedName name="Z_83D69B98_1714_4D17_901F_87B47BE66947_.wvu.PrintTitles" localSheetId="3" hidden="1">Footnotes!$2:$3</definedName>
    <definedName name="Z_83D69B98_1714_4D17_901F_87B47BE66947_.wvu.PrintTitles" localSheetId="37" hidden="1">'HCRA PROG DISB'!$3:$8</definedName>
    <definedName name="Z_83D69B98_1714_4D17_901F_87B47BE66947_.wvu.PrintTitles" localSheetId="38" hidden="1">'Public Goods '!$5:$11</definedName>
    <definedName name="Z_83D69B98_1714_4D17_901F_87B47BE66947_.wvu.PrintTitles" localSheetId="29" hidden="1">'Sch 1 '!$3:$11</definedName>
    <definedName name="Z_83D69B98_1714_4D17_901F_87B47BE66947_.wvu.PrintTitles" localSheetId="0" hidden="1">'Table of Contents'!$1:$12</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9E0B0F_6E54_47B0_837B_7B1D67D2CA57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00D83C_7F4F_41B5_9976_8610D9EBC976_.wvu.FilterData" localSheetId="11" hidden="1">'Exh D Debt Service'!$A$3:$A$7</definedName>
    <definedName name="Z_9F00D83C_7F4F_41B5_9976_8610D9EBC976_.wvu.FilterData" localSheetId="8" hidden="1">'Exh D General Fund'!$A$3:$A$7</definedName>
    <definedName name="Z_9F00D83C_7F4F_41B5_9976_8610D9EBC976_.wvu.PrintArea" localSheetId="40" hidden="1">'Appendix E'!$A$2:$AA$30</definedName>
    <definedName name="Z_9F00D83C_7F4F_41B5_9976_8610D9EBC976_.wvu.PrintArea" localSheetId="41" hidden="1">'Appendix F'!$A$2:$P$300</definedName>
    <definedName name="Z_9F00D83C_7F4F_41B5_9976_8610D9EBC976_.wvu.PrintArea" localSheetId="42" hidden="1">'Appendix G'!$A$3:$Z$60</definedName>
    <definedName name="Z_9F00D83C_7F4F_41B5_9976_8610D9EBC976_.wvu.PrintArea" localSheetId="43" hidden="1">'Appendix H'!$A$3:$I$63</definedName>
    <definedName name="Z_9F00D83C_7F4F_41B5_9976_8610D9EBC976_.wvu.PrintArea" localSheetId="44" hidden="1">'Appendix I'!$A$3:$I$36</definedName>
    <definedName name="Z_9F00D83C_7F4F_41B5_9976_8610D9EBC976_.wvu.PrintArea" localSheetId="16" hidden="1">'Cash Flow State Operating'!$A$3:$AJ$152</definedName>
    <definedName name="Z_9F00D83C_7F4F_41B5_9976_8610D9EBC976_.wvu.PrintArea" localSheetId="15" hidden="1">'Cashflow Governmental'!$A$3:$AJ$151</definedName>
    <definedName name="Z_9F00D83C_7F4F_41B5_9976_8610D9EBC976_.wvu.PrintArea" localSheetId="2" hidden="1">'Exh A Supp'!$A$3:$AF$63</definedName>
    <definedName name="Z_9F00D83C_7F4F_41B5_9976_8610D9EBC976_.wvu.PrintArea" localSheetId="4" hidden="1">'Exh B'!$A$3:$Z$47</definedName>
    <definedName name="Z_9F00D83C_7F4F_41B5_9976_8610D9EBC976_.wvu.PrintArea" localSheetId="5" hidden="1">'Exh C'!$A$3:$Y$44</definedName>
    <definedName name="Z_9F00D83C_7F4F_41B5_9976_8610D9EBC976_.wvu.PrintArea" localSheetId="12" hidden="1">'Exh D Capital Projects'!$A$3:$O$46</definedName>
    <definedName name="Z_9F00D83C_7F4F_41B5_9976_8610D9EBC976_.wvu.PrintArea" localSheetId="13" hidden="1">'Exh D Captl Projects State Fed'!$A$3:$X$46</definedName>
    <definedName name="Z_9F00D83C_7F4F_41B5_9976_8610D9EBC976_.wvu.PrintArea" localSheetId="11" hidden="1">'Exh D Debt Service'!$A$3:$K$44</definedName>
    <definedName name="Z_9F00D83C_7F4F_41B5_9976_8610D9EBC976_.wvu.PrintArea" localSheetId="8" hidden="1">'Exh D General Fund'!$A$3:$K$59</definedName>
    <definedName name="Z_9F00D83C_7F4F_41B5_9976_8610D9EBC976_.wvu.PrintArea" localSheetId="6" hidden="1">'Exh D Governmental  '!$A$3:$K$54</definedName>
    <definedName name="Z_9F00D83C_7F4F_41B5_9976_8610D9EBC976_.wvu.PrintArea" localSheetId="9" hidden="1">'Exh D Special Revenue'!$A$3:$O$47</definedName>
    <definedName name="Z_9F00D83C_7F4F_41B5_9976_8610D9EBC976_.wvu.PrintArea" localSheetId="10" hidden="1">'Exh D Special Revenue State Fed'!$A$3:$X$45</definedName>
    <definedName name="Z_9F00D83C_7F4F_41B5_9976_8610D9EBC976_.wvu.PrintArea" localSheetId="7" hidden="1">'Exh D State Operating'!$A$3:$K$57</definedName>
    <definedName name="Z_9F00D83C_7F4F_41B5_9976_8610D9EBC976_.wvu.PrintArea" localSheetId="1" hidden="1">'Exhibit A'!$A$3:$AI$60</definedName>
    <definedName name="Z_9F00D83C_7F4F_41B5_9976_8610D9EBC976_.wvu.PrintArea" localSheetId="14" hidden="1">'EXHIBIT E '!$A$3:$AK$68</definedName>
    <definedName name="Z_9F00D83C_7F4F_41B5_9976_8610D9EBC976_.wvu.PrintArea" localSheetId="17" hidden="1">'Exhibit F'!$B$3:$AK$146</definedName>
    <definedName name="Z_9F00D83C_7F4F_41B5_9976_8610D9EBC976_.wvu.PrintArea" localSheetId="18" hidden="1">'Exhibit G'!$B$3:$AM$127</definedName>
    <definedName name="Z_9F00D83C_7F4F_41B5_9976_8610D9EBC976_.wvu.PrintArea" localSheetId="20" hidden="1">'Exhibit G Federal'!$B$2:$AK$96</definedName>
    <definedName name="Z_9F00D83C_7F4F_41B5_9976_8610D9EBC976_.wvu.PrintArea" localSheetId="19" hidden="1">'Exhibit G State'!$B$3:$AK$123</definedName>
    <definedName name="Z_9F00D83C_7F4F_41B5_9976_8610D9EBC976_.wvu.PrintArea" localSheetId="21" hidden="1">'Exhibit H'!$A$2:$AI$79</definedName>
    <definedName name="Z_9F00D83C_7F4F_41B5_9976_8610D9EBC976_.wvu.PrintArea" localSheetId="22" hidden="1">'Exhibit I'!$B$3:$AN$102</definedName>
    <definedName name="Z_9F00D83C_7F4F_41B5_9976_8610D9EBC976_.wvu.PrintArea" localSheetId="24" hidden="1">'Exhibit I Federal'!$B$3:$AL$84</definedName>
    <definedName name="Z_9F00D83C_7F4F_41B5_9976_8610D9EBC976_.wvu.PrintArea" localSheetId="23" hidden="1">'Exhibit I State'!$B$3:$AL$101</definedName>
    <definedName name="Z_9F00D83C_7F4F_41B5_9976_8610D9EBC976_.wvu.PrintArea" localSheetId="25" hidden="1">'Exhibit J'!$A$3:$AJ$52</definedName>
    <definedName name="Z_9F00D83C_7F4F_41B5_9976_8610D9EBC976_.wvu.PrintArea" localSheetId="26" hidden="1">'Exhibit K'!$A$3:$AI$49</definedName>
    <definedName name="Z_9F00D83C_7F4F_41B5_9976_8610D9EBC976_.wvu.PrintArea" localSheetId="27" hidden="1">'Exhibit L'!$A$3:$AI$47</definedName>
    <definedName name="Z_9F00D83C_7F4F_41B5_9976_8610D9EBC976_.wvu.PrintArea" localSheetId="28" hidden="1">'Exhibit M'!$A$3:$AI$47</definedName>
    <definedName name="Z_9F00D83C_7F4F_41B5_9976_8610D9EBC976_.wvu.PrintArea" localSheetId="3" hidden="1">Footnotes!$A$2:$O$60</definedName>
    <definedName name="Z_9F00D83C_7F4F_41B5_9976_8610D9EBC976_.wvu.PrintArea" localSheetId="36" hidden="1">'HCRA '!$A$3:$Z$63</definedName>
    <definedName name="Z_9F00D83C_7F4F_41B5_9976_8610D9EBC976_.wvu.PrintArea" localSheetId="37" hidden="1">'HCRA PROG DISB'!$A$3:$D$71</definedName>
    <definedName name="Z_9F00D83C_7F4F_41B5_9976_8610D9EBC976_.wvu.PrintArea" localSheetId="39" hidden="1">'Medicaid Disp Share'!$B$2:$K$52</definedName>
    <definedName name="Z_9F00D83C_7F4F_41B5_9976_8610D9EBC976_.wvu.PrintArea" localSheetId="38" hidden="1">'Public Goods '!$A$3:$K$53</definedName>
    <definedName name="Z_9F00D83C_7F4F_41B5_9976_8610D9EBC976_.wvu.PrintArea" localSheetId="29" hidden="1">'Sch 1 '!$A$3:$L$158</definedName>
    <definedName name="Z_9F00D83C_7F4F_41B5_9976_8610D9EBC976_.wvu.PrintArea" localSheetId="30" hidden="1">'Sch 2 '!$A$3:$K$47</definedName>
    <definedName name="Z_9F00D83C_7F4F_41B5_9976_8610D9EBC976_.wvu.PrintArea" localSheetId="31" hidden="1">'Sch 3 '!$A$2:$M$49</definedName>
    <definedName name="Z_9F00D83C_7F4F_41B5_9976_8610D9EBC976_.wvu.PrintArea" localSheetId="32" hidden="1">'Sch 4'!$A$3:$K$34</definedName>
    <definedName name="Z_9F00D83C_7F4F_41B5_9976_8610D9EBC976_.wvu.PrintArea" localSheetId="33" hidden="1">'Sch 5 '!$A$3:$S$70</definedName>
    <definedName name="Z_9F00D83C_7F4F_41B5_9976_8610D9EBC976_.wvu.PrintArea" localSheetId="34" hidden="1">'Sch 5a'!$B$3:$R$33</definedName>
    <definedName name="Z_9F00D83C_7F4F_41B5_9976_8610D9EBC976_.wvu.PrintArea" localSheetId="35" hidden="1">'Sch 6'!$B$3:$K$38</definedName>
    <definedName name="Z_9F00D83C_7F4F_41B5_9976_8610D9EBC976_.wvu.PrintArea" localSheetId="0" hidden="1">'Table of Contents'!$A$1:$J$66</definedName>
    <definedName name="Z_9F00D83C_7F4F_41B5_9976_8610D9EBC976_.wvu.PrintTitles" localSheetId="41" hidden="1">'Appendix F'!$2:$8</definedName>
    <definedName name="Z_9F00D83C_7F4F_41B5_9976_8610D9EBC976_.wvu.PrintTitles" localSheetId="16" hidden="1">'Cash Flow State Operating'!$3:$15</definedName>
    <definedName name="Z_9F00D83C_7F4F_41B5_9976_8610D9EBC976_.wvu.PrintTitles" localSheetId="15" hidden="1">'Cashflow Governmental'!$3:$15</definedName>
    <definedName name="Z_9F00D83C_7F4F_41B5_9976_8610D9EBC976_.wvu.PrintTitles" localSheetId="17" hidden="1">'Exhibit F'!$3:$12</definedName>
    <definedName name="Z_9F00D83C_7F4F_41B5_9976_8610D9EBC976_.wvu.PrintTitles" localSheetId="18" hidden="1">'Exhibit G'!$3:$12</definedName>
    <definedName name="Z_9F00D83C_7F4F_41B5_9976_8610D9EBC976_.wvu.PrintTitles" localSheetId="20" hidden="1">'Exhibit G Federal'!$3:$12</definedName>
    <definedName name="Z_9F00D83C_7F4F_41B5_9976_8610D9EBC976_.wvu.PrintTitles" localSheetId="19" hidden="1">'Exhibit G State'!$3:$12</definedName>
    <definedName name="Z_9F00D83C_7F4F_41B5_9976_8610D9EBC976_.wvu.PrintTitles" localSheetId="21" hidden="1">'Exhibit H'!$3:$11</definedName>
    <definedName name="Z_9F00D83C_7F4F_41B5_9976_8610D9EBC976_.wvu.PrintTitles" localSheetId="22" hidden="1">'Exhibit I'!$3:$11</definedName>
    <definedName name="Z_9F00D83C_7F4F_41B5_9976_8610D9EBC976_.wvu.PrintTitles" localSheetId="24" hidden="1">'Exhibit I Federal'!$3:$12</definedName>
    <definedName name="Z_9F00D83C_7F4F_41B5_9976_8610D9EBC976_.wvu.PrintTitles" localSheetId="23" hidden="1">'Exhibit I State'!$3:$12</definedName>
    <definedName name="Z_9F00D83C_7F4F_41B5_9976_8610D9EBC976_.wvu.PrintTitles" localSheetId="3" hidden="1">Footnotes!$2:$3</definedName>
    <definedName name="Z_9F00D83C_7F4F_41B5_9976_8610D9EBC976_.wvu.PrintTitles" localSheetId="37" hidden="1">'HCRA PROG DISB'!$3:$8</definedName>
    <definedName name="Z_9F00D83C_7F4F_41B5_9976_8610D9EBC976_.wvu.PrintTitles" localSheetId="38" hidden="1">'Public Goods '!$5:$11</definedName>
    <definedName name="Z_9F00D83C_7F4F_41B5_9976_8610D9EBC976_.wvu.PrintTitles" localSheetId="29" hidden="1">'Sch 1 '!$3:$11</definedName>
    <definedName name="Z_9F00D83C_7F4F_41B5_9976_8610D9EBC976_.wvu.PrintTitles" localSheetId="0" hidden="1">'Table of Contents'!$1:$12</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'!$A$3:$AK$68</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3636880_B45B_4897_94F2_F91976416934_.wvu.FilterData" localSheetId="11" hidden="1">'Exh D Debt Service'!$A$3:$A$7</definedName>
    <definedName name="Z_C3636880_B45B_4897_94F2_F91976416934_.wvu.FilterData" localSheetId="8" hidden="1">'Exh D General Fund'!$A$3:$A$7</definedName>
    <definedName name="Z_C3636880_B45B_4897_94F2_F91976416934_.wvu.PrintArea" localSheetId="40" hidden="1">'Appendix E'!$A$2:$AA$30</definedName>
    <definedName name="Z_C3636880_B45B_4897_94F2_F91976416934_.wvu.PrintArea" localSheetId="41" hidden="1">'Appendix F'!$A$2:$P$300</definedName>
    <definedName name="Z_C3636880_B45B_4897_94F2_F91976416934_.wvu.PrintArea" localSheetId="42" hidden="1">'Appendix G'!$A$3:$Z$60</definedName>
    <definedName name="Z_C3636880_B45B_4897_94F2_F91976416934_.wvu.PrintArea" localSheetId="43" hidden="1">'Appendix H'!$A$3:$I$63</definedName>
    <definedName name="Z_C3636880_B45B_4897_94F2_F91976416934_.wvu.PrintArea" localSheetId="44" hidden="1">'Appendix I'!$A$3:$I$36</definedName>
    <definedName name="Z_C3636880_B45B_4897_94F2_F91976416934_.wvu.PrintArea" localSheetId="16" hidden="1">'Cash Flow State Operating'!$A$3:$AJ$152</definedName>
    <definedName name="Z_C3636880_B45B_4897_94F2_F91976416934_.wvu.PrintArea" localSheetId="15" hidden="1">'Cashflow Governmental'!$A$3:$AJ$151</definedName>
    <definedName name="Z_C3636880_B45B_4897_94F2_F91976416934_.wvu.PrintArea" localSheetId="2" hidden="1">'Exh A Supp'!$A$3:$AF$63</definedName>
    <definedName name="Z_C3636880_B45B_4897_94F2_F91976416934_.wvu.PrintArea" localSheetId="4" hidden="1">'Exh B'!$A$3:$Z$47</definedName>
    <definedName name="Z_C3636880_B45B_4897_94F2_F91976416934_.wvu.PrintArea" localSheetId="5" hidden="1">'Exh C'!$A$3:$Y$44</definedName>
    <definedName name="Z_C3636880_B45B_4897_94F2_F91976416934_.wvu.PrintArea" localSheetId="12" hidden="1">'Exh D Capital Projects'!$A$3:$O$46</definedName>
    <definedName name="Z_C3636880_B45B_4897_94F2_F91976416934_.wvu.PrintArea" localSheetId="13" hidden="1">'Exh D Captl Projects State Fed'!$A$3:$X$46</definedName>
    <definedName name="Z_C3636880_B45B_4897_94F2_F91976416934_.wvu.PrintArea" localSheetId="11" hidden="1">'Exh D Debt Service'!$A$3:$K$44</definedName>
    <definedName name="Z_C3636880_B45B_4897_94F2_F91976416934_.wvu.PrintArea" localSheetId="8" hidden="1">'Exh D General Fund'!$A$3:$K$59</definedName>
    <definedName name="Z_C3636880_B45B_4897_94F2_F91976416934_.wvu.PrintArea" localSheetId="6" hidden="1">'Exh D Governmental  '!$A$3:$K$54</definedName>
    <definedName name="Z_C3636880_B45B_4897_94F2_F91976416934_.wvu.PrintArea" localSheetId="9" hidden="1">'Exh D Special Revenue'!$A$3:$O$47</definedName>
    <definedName name="Z_C3636880_B45B_4897_94F2_F91976416934_.wvu.PrintArea" localSheetId="10" hidden="1">'Exh D Special Revenue State Fed'!$A$3:$X$45</definedName>
    <definedName name="Z_C3636880_B45B_4897_94F2_F91976416934_.wvu.PrintArea" localSheetId="7" hidden="1">'Exh D State Operating'!$A$3:$K$57</definedName>
    <definedName name="Z_C3636880_B45B_4897_94F2_F91976416934_.wvu.PrintArea" localSheetId="1" hidden="1">'Exhibit A'!$A$3:$AI$60</definedName>
    <definedName name="Z_C3636880_B45B_4897_94F2_F91976416934_.wvu.PrintArea" localSheetId="14" hidden="1">'EXHIBIT E '!$A$3:$AK$68</definedName>
    <definedName name="Z_C3636880_B45B_4897_94F2_F91976416934_.wvu.PrintArea" localSheetId="17" hidden="1">'Exhibit F'!$B$3:$AK$146</definedName>
    <definedName name="Z_C3636880_B45B_4897_94F2_F91976416934_.wvu.PrintArea" localSheetId="18" hidden="1">'Exhibit G'!$B$3:$AM$127</definedName>
    <definedName name="Z_C3636880_B45B_4897_94F2_F91976416934_.wvu.PrintArea" localSheetId="20" hidden="1">'Exhibit G Federal'!$B$2:$AK$96</definedName>
    <definedName name="Z_C3636880_B45B_4897_94F2_F91976416934_.wvu.PrintArea" localSheetId="19" hidden="1">'Exhibit G State'!$B$3:$AK$123</definedName>
    <definedName name="Z_C3636880_B45B_4897_94F2_F91976416934_.wvu.PrintArea" localSheetId="21" hidden="1">'Exhibit H'!$A$2:$AI$79</definedName>
    <definedName name="Z_C3636880_B45B_4897_94F2_F91976416934_.wvu.PrintArea" localSheetId="22" hidden="1">'Exhibit I'!$B$3:$AN$102</definedName>
    <definedName name="Z_C3636880_B45B_4897_94F2_F91976416934_.wvu.PrintArea" localSheetId="24" hidden="1">'Exhibit I Federal'!$B$3:$AL$84</definedName>
    <definedName name="Z_C3636880_B45B_4897_94F2_F91976416934_.wvu.PrintArea" localSheetId="23" hidden="1">'Exhibit I State'!$B$3:$AL$101</definedName>
    <definedName name="Z_C3636880_B45B_4897_94F2_F91976416934_.wvu.PrintArea" localSheetId="25" hidden="1">'Exhibit J'!$A$3:$AJ$52</definedName>
    <definedName name="Z_C3636880_B45B_4897_94F2_F91976416934_.wvu.PrintArea" localSheetId="26" hidden="1">'Exhibit K'!$A$3:$AI$49</definedName>
    <definedName name="Z_C3636880_B45B_4897_94F2_F91976416934_.wvu.PrintArea" localSheetId="27" hidden="1">'Exhibit L'!$A$3:$AI$47</definedName>
    <definedName name="Z_C3636880_B45B_4897_94F2_F91976416934_.wvu.PrintArea" localSheetId="28" hidden="1">'Exhibit M'!$A$3:$AI$47</definedName>
    <definedName name="Z_C3636880_B45B_4897_94F2_F91976416934_.wvu.PrintArea" localSheetId="3" hidden="1">Footnotes!$A$2:$O$60</definedName>
    <definedName name="Z_C3636880_B45B_4897_94F2_F91976416934_.wvu.PrintArea" localSheetId="36" hidden="1">'HCRA '!$A$3:$Z$63</definedName>
    <definedName name="Z_C3636880_B45B_4897_94F2_F91976416934_.wvu.PrintArea" localSheetId="37" hidden="1">'HCRA PROG DISB'!$A$3:$D$71</definedName>
    <definedName name="Z_C3636880_B45B_4897_94F2_F91976416934_.wvu.PrintArea" localSheetId="39" hidden="1">'Medicaid Disp Share'!$B$2:$K$52</definedName>
    <definedName name="Z_C3636880_B45B_4897_94F2_F91976416934_.wvu.PrintArea" localSheetId="38" hidden="1">'Public Goods '!$A$3:$K$53</definedName>
    <definedName name="Z_C3636880_B45B_4897_94F2_F91976416934_.wvu.PrintArea" localSheetId="29" hidden="1">'Sch 1 '!$A$3:$L$158</definedName>
    <definedName name="Z_C3636880_B45B_4897_94F2_F91976416934_.wvu.PrintArea" localSheetId="30" hidden="1">'Sch 2 '!$A$3:$K$47</definedName>
    <definedName name="Z_C3636880_B45B_4897_94F2_F91976416934_.wvu.PrintArea" localSheetId="31" hidden="1">'Sch 3 '!$A$2:$M$49</definedName>
    <definedName name="Z_C3636880_B45B_4897_94F2_F91976416934_.wvu.PrintArea" localSheetId="32" hidden="1">'Sch 4'!$A$3:$K$34</definedName>
    <definedName name="Z_C3636880_B45B_4897_94F2_F91976416934_.wvu.PrintArea" localSheetId="33" hidden="1">'Sch 5 '!$A$3:$S$70</definedName>
    <definedName name="Z_C3636880_B45B_4897_94F2_F91976416934_.wvu.PrintArea" localSheetId="34" hidden="1">'Sch 5a'!$B$3:$R$33</definedName>
    <definedName name="Z_C3636880_B45B_4897_94F2_F91976416934_.wvu.PrintArea" localSheetId="35" hidden="1">'Sch 6'!$B$3:$K$38</definedName>
    <definedName name="Z_C3636880_B45B_4897_94F2_F91976416934_.wvu.PrintArea" localSheetId="0" hidden="1">'Table of Contents'!$A$1:$J$66</definedName>
    <definedName name="Z_C3636880_B45B_4897_94F2_F91976416934_.wvu.PrintTitles" localSheetId="41" hidden="1">'Appendix F'!$2:$8</definedName>
    <definedName name="Z_C3636880_B45B_4897_94F2_F91976416934_.wvu.PrintTitles" localSheetId="16" hidden="1">'Cash Flow State Operating'!$3:$15</definedName>
    <definedName name="Z_C3636880_B45B_4897_94F2_F91976416934_.wvu.PrintTitles" localSheetId="15" hidden="1">'Cashflow Governmental'!$3:$15</definedName>
    <definedName name="Z_C3636880_B45B_4897_94F2_F91976416934_.wvu.PrintTitles" localSheetId="17" hidden="1">'Exhibit F'!$3:$12</definedName>
    <definedName name="Z_C3636880_B45B_4897_94F2_F91976416934_.wvu.PrintTitles" localSheetId="18" hidden="1">'Exhibit G'!$3:$12</definedName>
    <definedName name="Z_C3636880_B45B_4897_94F2_F91976416934_.wvu.PrintTitles" localSheetId="20" hidden="1">'Exhibit G Federal'!$3:$12</definedName>
    <definedName name="Z_C3636880_B45B_4897_94F2_F91976416934_.wvu.PrintTitles" localSheetId="19" hidden="1">'Exhibit G State'!$3:$12</definedName>
    <definedName name="Z_C3636880_B45B_4897_94F2_F91976416934_.wvu.PrintTitles" localSheetId="21" hidden="1">'Exhibit H'!$3:$11</definedName>
    <definedName name="Z_C3636880_B45B_4897_94F2_F91976416934_.wvu.PrintTitles" localSheetId="22" hidden="1">'Exhibit I'!$3:$11</definedName>
    <definedName name="Z_C3636880_B45B_4897_94F2_F91976416934_.wvu.PrintTitles" localSheetId="24" hidden="1">'Exhibit I Federal'!$3:$12</definedName>
    <definedName name="Z_C3636880_B45B_4897_94F2_F91976416934_.wvu.PrintTitles" localSheetId="23" hidden="1">'Exhibit I State'!$3:$12</definedName>
    <definedName name="Z_C3636880_B45B_4897_94F2_F91976416934_.wvu.PrintTitles" localSheetId="3" hidden="1">Footnotes!$2:$3</definedName>
    <definedName name="Z_C3636880_B45B_4897_94F2_F91976416934_.wvu.PrintTitles" localSheetId="37" hidden="1">'HCRA PROG DISB'!$3:$8</definedName>
    <definedName name="Z_C3636880_B45B_4897_94F2_F91976416934_.wvu.PrintTitles" localSheetId="38" hidden="1">'Public Goods '!$5:$11</definedName>
    <definedName name="Z_C3636880_B45B_4897_94F2_F91976416934_.wvu.PrintTitles" localSheetId="29" hidden="1">'Sch 1 '!$3:$11</definedName>
    <definedName name="Z_C3636880_B45B_4897_94F2_F91976416934_.wvu.PrintTitles" localSheetId="0" hidden="1">'Table of Contents'!$1:$12</definedName>
    <definedName name="Z_C41E3923_0A88_49D0_AE43_0E74D386A056_.wvu.FilterData" localSheetId="11" hidden="1">'Exh D Debt Service'!$A$3:$A$7</definedName>
    <definedName name="Z_C41E3923_0A88_49D0_AE43_0E74D386A056_.wvu.FilterData" localSheetId="8" hidden="1">'Exh D General Fund'!$A$3:$A$7</definedName>
    <definedName name="Z_C41E3923_0A88_49D0_AE43_0E74D386A056_.wvu.PrintArea" localSheetId="40" hidden="1">'Appendix E'!$A$2:$AA$30</definedName>
    <definedName name="Z_C41E3923_0A88_49D0_AE43_0E74D386A056_.wvu.PrintArea" localSheetId="41" hidden="1">'Appendix F'!$A$2:$P$300</definedName>
    <definedName name="Z_C41E3923_0A88_49D0_AE43_0E74D386A056_.wvu.PrintArea" localSheetId="42" hidden="1">'Appendix G'!$A$3:$Z$60</definedName>
    <definedName name="Z_C41E3923_0A88_49D0_AE43_0E74D386A056_.wvu.PrintArea" localSheetId="43" hidden="1">'Appendix H'!$A$3:$I$63</definedName>
    <definedName name="Z_C41E3923_0A88_49D0_AE43_0E74D386A056_.wvu.PrintArea" localSheetId="44" hidden="1">'Appendix I'!$A$3:$I$36</definedName>
    <definedName name="Z_C41E3923_0A88_49D0_AE43_0E74D386A056_.wvu.PrintArea" localSheetId="16" hidden="1">'Cash Flow State Operating'!$A$3:$AJ$152</definedName>
    <definedName name="Z_C41E3923_0A88_49D0_AE43_0E74D386A056_.wvu.PrintArea" localSheetId="15" hidden="1">'Cashflow Governmental'!$A$3:$AJ$151</definedName>
    <definedName name="Z_C41E3923_0A88_49D0_AE43_0E74D386A056_.wvu.PrintArea" localSheetId="2" hidden="1">'Exh A Supp'!$A$3:$AF$63</definedName>
    <definedName name="Z_C41E3923_0A88_49D0_AE43_0E74D386A056_.wvu.PrintArea" localSheetId="4" hidden="1">'Exh B'!$A$3:$Z$47</definedName>
    <definedName name="Z_C41E3923_0A88_49D0_AE43_0E74D386A056_.wvu.PrintArea" localSheetId="5" hidden="1">'Exh C'!$A$3:$Y$44</definedName>
    <definedName name="Z_C41E3923_0A88_49D0_AE43_0E74D386A056_.wvu.PrintArea" localSheetId="12" hidden="1">'Exh D Capital Projects'!$A$3:$O$46</definedName>
    <definedName name="Z_C41E3923_0A88_49D0_AE43_0E74D386A056_.wvu.PrintArea" localSheetId="13" hidden="1">'Exh D Captl Projects State Fed'!$A$3:$X$46</definedName>
    <definedName name="Z_C41E3923_0A88_49D0_AE43_0E74D386A056_.wvu.PrintArea" localSheetId="11" hidden="1">'Exh D Debt Service'!$A$3:$K$44</definedName>
    <definedName name="Z_C41E3923_0A88_49D0_AE43_0E74D386A056_.wvu.PrintArea" localSheetId="8" hidden="1">'Exh D General Fund'!$A$3:$K$59</definedName>
    <definedName name="Z_C41E3923_0A88_49D0_AE43_0E74D386A056_.wvu.PrintArea" localSheetId="6" hidden="1">'Exh D Governmental  '!$A$3:$K$54</definedName>
    <definedName name="Z_C41E3923_0A88_49D0_AE43_0E74D386A056_.wvu.PrintArea" localSheetId="9" hidden="1">'Exh D Special Revenue'!$A$3:$O$47</definedName>
    <definedName name="Z_C41E3923_0A88_49D0_AE43_0E74D386A056_.wvu.PrintArea" localSheetId="10" hidden="1">'Exh D Special Revenue State Fed'!$A$3:$X$45</definedName>
    <definedName name="Z_C41E3923_0A88_49D0_AE43_0E74D386A056_.wvu.PrintArea" localSheetId="7" hidden="1">'Exh D State Operating'!$A$3:$K$57</definedName>
    <definedName name="Z_C41E3923_0A88_49D0_AE43_0E74D386A056_.wvu.PrintArea" localSheetId="1" hidden="1">'Exhibit A'!$A$3:$AI$60</definedName>
    <definedName name="Z_C41E3923_0A88_49D0_AE43_0E74D386A056_.wvu.PrintArea" localSheetId="14" hidden="1">'EXHIBIT E '!$A$3:$AK$68</definedName>
    <definedName name="Z_C41E3923_0A88_49D0_AE43_0E74D386A056_.wvu.PrintArea" localSheetId="17" hidden="1">'Exhibit F'!$B$3:$AK$146</definedName>
    <definedName name="Z_C41E3923_0A88_49D0_AE43_0E74D386A056_.wvu.PrintArea" localSheetId="18" hidden="1">'Exhibit G'!$B$3:$AM$127</definedName>
    <definedName name="Z_C41E3923_0A88_49D0_AE43_0E74D386A056_.wvu.PrintArea" localSheetId="20" hidden="1">'Exhibit G Federal'!$B$2:$AK$96</definedName>
    <definedName name="Z_C41E3923_0A88_49D0_AE43_0E74D386A056_.wvu.PrintArea" localSheetId="19" hidden="1">'Exhibit G State'!$B$3:$AK$123</definedName>
    <definedName name="Z_C41E3923_0A88_49D0_AE43_0E74D386A056_.wvu.PrintArea" localSheetId="21" hidden="1">'Exhibit H'!$A$2:$AI$79</definedName>
    <definedName name="Z_C41E3923_0A88_49D0_AE43_0E74D386A056_.wvu.PrintArea" localSheetId="22" hidden="1">'Exhibit I'!$B$3:$AN$102</definedName>
    <definedName name="Z_C41E3923_0A88_49D0_AE43_0E74D386A056_.wvu.PrintArea" localSheetId="24" hidden="1">'Exhibit I Federal'!$B$3:$AL$84</definedName>
    <definedName name="Z_C41E3923_0A88_49D0_AE43_0E74D386A056_.wvu.PrintArea" localSheetId="23" hidden="1">'Exhibit I State'!$B$3:$AL$101</definedName>
    <definedName name="Z_C41E3923_0A88_49D0_AE43_0E74D386A056_.wvu.PrintArea" localSheetId="25" hidden="1">'Exhibit J'!$A$3:$AJ$52</definedName>
    <definedName name="Z_C41E3923_0A88_49D0_AE43_0E74D386A056_.wvu.PrintArea" localSheetId="26" hidden="1">'Exhibit K'!$A$3:$AI$49</definedName>
    <definedName name="Z_C41E3923_0A88_49D0_AE43_0E74D386A056_.wvu.PrintArea" localSheetId="27" hidden="1">'Exhibit L'!$A$3:$AI$47</definedName>
    <definedName name="Z_C41E3923_0A88_49D0_AE43_0E74D386A056_.wvu.PrintArea" localSheetId="28" hidden="1">'Exhibit M'!$A$3:$AI$47</definedName>
    <definedName name="Z_C41E3923_0A88_49D0_AE43_0E74D386A056_.wvu.PrintArea" localSheetId="3" hidden="1">Footnotes!$A$2:$O$60</definedName>
    <definedName name="Z_C41E3923_0A88_49D0_AE43_0E74D386A056_.wvu.PrintArea" localSheetId="36" hidden="1">'HCRA '!$A$3:$Z$63</definedName>
    <definedName name="Z_C41E3923_0A88_49D0_AE43_0E74D386A056_.wvu.PrintArea" localSheetId="37" hidden="1">'HCRA PROG DISB'!$A$3:$D$71</definedName>
    <definedName name="Z_C41E3923_0A88_49D0_AE43_0E74D386A056_.wvu.PrintArea" localSheetId="39" hidden="1">'Medicaid Disp Share'!$B$2:$K$52</definedName>
    <definedName name="Z_C41E3923_0A88_49D0_AE43_0E74D386A056_.wvu.PrintArea" localSheetId="38" hidden="1">'Public Goods '!$A$3:$K$53</definedName>
    <definedName name="Z_C41E3923_0A88_49D0_AE43_0E74D386A056_.wvu.PrintArea" localSheetId="29" hidden="1">'Sch 1 '!$A$3:$L$158</definedName>
    <definedName name="Z_C41E3923_0A88_49D0_AE43_0E74D386A056_.wvu.PrintArea" localSheetId="30" hidden="1">'Sch 2 '!$A$3:$K$47</definedName>
    <definedName name="Z_C41E3923_0A88_49D0_AE43_0E74D386A056_.wvu.PrintArea" localSheetId="31" hidden="1">'Sch 3 '!$A$2:$M$49</definedName>
    <definedName name="Z_C41E3923_0A88_49D0_AE43_0E74D386A056_.wvu.PrintArea" localSheetId="32" hidden="1">'Sch 4'!$A$3:$K$34</definedName>
    <definedName name="Z_C41E3923_0A88_49D0_AE43_0E74D386A056_.wvu.PrintArea" localSheetId="33" hidden="1">'Sch 5 '!$A$3:$S$70</definedName>
    <definedName name="Z_C41E3923_0A88_49D0_AE43_0E74D386A056_.wvu.PrintArea" localSheetId="34" hidden="1">'Sch 5a'!$B$3:$R$33</definedName>
    <definedName name="Z_C41E3923_0A88_49D0_AE43_0E74D386A056_.wvu.PrintArea" localSheetId="35" hidden="1">'Sch 6'!$B$3:$K$38</definedName>
    <definedName name="Z_C41E3923_0A88_49D0_AE43_0E74D386A056_.wvu.PrintArea" localSheetId="0" hidden="1">'Table of Contents'!$A$1:$J$66</definedName>
    <definedName name="Z_C41E3923_0A88_49D0_AE43_0E74D386A056_.wvu.PrintTitles" localSheetId="41" hidden="1">'Appendix F'!$2:$8</definedName>
    <definedName name="Z_C41E3923_0A88_49D0_AE43_0E74D386A056_.wvu.PrintTitles" localSheetId="16" hidden="1">'Cash Flow State Operating'!$3:$15</definedName>
    <definedName name="Z_C41E3923_0A88_49D0_AE43_0E74D386A056_.wvu.PrintTitles" localSheetId="15" hidden="1">'Cashflow Governmental'!$3:$15</definedName>
    <definedName name="Z_C41E3923_0A88_49D0_AE43_0E74D386A056_.wvu.PrintTitles" localSheetId="17" hidden="1">'Exhibit F'!$3:$12</definedName>
    <definedName name="Z_C41E3923_0A88_49D0_AE43_0E74D386A056_.wvu.PrintTitles" localSheetId="18" hidden="1">'Exhibit G'!$3:$12</definedName>
    <definedName name="Z_C41E3923_0A88_49D0_AE43_0E74D386A056_.wvu.PrintTitles" localSheetId="20" hidden="1">'Exhibit G Federal'!$3:$12</definedName>
    <definedName name="Z_C41E3923_0A88_49D0_AE43_0E74D386A056_.wvu.PrintTitles" localSheetId="19" hidden="1">'Exhibit G State'!$3:$12</definedName>
    <definedName name="Z_C41E3923_0A88_49D0_AE43_0E74D386A056_.wvu.PrintTitles" localSheetId="21" hidden="1">'Exhibit H'!$3:$11</definedName>
    <definedName name="Z_C41E3923_0A88_49D0_AE43_0E74D386A056_.wvu.PrintTitles" localSheetId="22" hidden="1">'Exhibit I'!$3:$11</definedName>
    <definedName name="Z_C41E3923_0A88_49D0_AE43_0E74D386A056_.wvu.PrintTitles" localSheetId="24" hidden="1">'Exhibit I Federal'!$3:$12</definedName>
    <definedName name="Z_C41E3923_0A88_49D0_AE43_0E74D386A056_.wvu.PrintTitles" localSheetId="23" hidden="1">'Exhibit I State'!$3:$12</definedName>
    <definedName name="Z_C41E3923_0A88_49D0_AE43_0E74D386A056_.wvu.PrintTitles" localSheetId="3" hidden="1">Footnotes!$2:$3</definedName>
    <definedName name="Z_C41E3923_0A88_49D0_AE43_0E74D386A056_.wvu.PrintTitles" localSheetId="37" hidden="1">'HCRA PROG DISB'!$3:$8</definedName>
    <definedName name="Z_C41E3923_0A88_49D0_AE43_0E74D386A056_.wvu.PrintTitles" localSheetId="38" hidden="1">'Public Goods '!$5:$11</definedName>
    <definedName name="Z_C41E3923_0A88_49D0_AE43_0E74D386A056_.wvu.PrintTitles" localSheetId="29" hidden="1">'Sch 1 '!$3:$11</definedName>
    <definedName name="Z_C41E3923_0A88_49D0_AE43_0E74D386A056_.wvu.PrintTitles" localSheetId="0" hidden="1">'Table of Contents'!$1:$12</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1467C25_646C_4F1A_9353_0E890E575522_.wvu.FilterData" localSheetId="11" hidden="1">'Exh D Debt Service'!$A$3:$A$7</definedName>
    <definedName name="Z_D1467C25_646C_4F1A_9353_0E890E575522_.wvu.FilterData" localSheetId="8" hidden="1">'Exh D General Fund'!$A$3:$A$7</definedName>
    <definedName name="Z_D1467C25_646C_4F1A_9353_0E890E575522_.wvu.PrintArea" localSheetId="40" hidden="1">'Appendix E'!$A$2:$AA$30</definedName>
    <definedName name="Z_D1467C25_646C_4F1A_9353_0E890E575522_.wvu.PrintArea" localSheetId="41" hidden="1">'Appendix F'!$A$2:$P$300</definedName>
    <definedName name="Z_D1467C25_646C_4F1A_9353_0E890E575522_.wvu.PrintArea" localSheetId="42" hidden="1">'Appendix G'!$A$3:$Z$60</definedName>
    <definedName name="Z_D1467C25_646C_4F1A_9353_0E890E575522_.wvu.PrintArea" localSheetId="43" hidden="1">'Appendix H'!$A$3:$I$63</definedName>
    <definedName name="Z_D1467C25_646C_4F1A_9353_0E890E575522_.wvu.PrintArea" localSheetId="44" hidden="1">'Appendix I'!$A$3:$I$36</definedName>
    <definedName name="Z_D1467C25_646C_4F1A_9353_0E890E575522_.wvu.PrintArea" localSheetId="16" hidden="1">'Cash Flow State Operating'!$A$3:$AJ$152</definedName>
    <definedName name="Z_D1467C25_646C_4F1A_9353_0E890E575522_.wvu.PrintArea" localSheetId="15" hidden="1">'Cashflow Governmental'!$A$3:$AJ$151</definedName>
    <definedName name="Z_D1467C25_646C_4F1A_9353_0E890E575522_.wvu.PrintArea" localSheetId="2" hidden="1">'Exh A Supp'!$A$3:$AF$63</definedName>
    <definedName name="Z_D1467C25_646C_4F1A_9353_0E890E575522_.wvu.PrintArea" localSheetId="4" hidden="1">'Exh B'!$A$3:$Z$47</definedName>
    <definedName name="Z_D1467C25_646C_4F1A_9353_0E890E575522_.wvu.PrintArea" localSheetId="5" hidden="1">'Exh C'!$A$3:$Y$44</definedName>
    <definedName name="Z_D1467C25_646C_4F1A_9353_0E890E575522_.wvu.PrintArea" localSheetId="12" hidden="1">'Exh D Capital Projects'!$A$3:$O$46</definedName>
    <definedName name="Z_D1467C25_646C_4F1A_9353_0E890E575522_.wvu.PrintArea" localSheetId="13" hidden="1">'Exh D Captl Projects State Fed'!$A$3:$X$46</definedName>
    <definedName name="Z_D1467C25_646C_4F1A_9353_0E890E575522_.wvu.PrintArea" localSheetId="11" hidden="1">'Exh D Debt Service'!$A$3:$K$44</definedName>
    <definedName name="Z_D1467C25_646C_4F1A_9353_0E890E575522_.wvu.PrintArea" localSheetId="8" hidden="1">'Exh D General Fund'!$A$3:$K$59</definedName>
    <definedName name="Z_D1467C25_646C_4F1A_9353_0E890E575522_.wvu.PrintArea" localSheetId="6" hidden="1">'Exh D Governmental  '!$A$3:$K$54</definedName>
    <definedName name="Z_D1467C25_646C_4F1A_9353_0E890E575522_.wvu.PrintArea" localSheetId="9" hidden="1">'Exh D Special Revenue'!$A$3:$O$47</definedName>
    <definedName name="Z_D1467C25_646C_4F1A_9353_0E890E575522_.wvu.PrintArea" localSheetId="10" hidden="1">'Exh D Special Revenue State Fed'!$A$3:$X$45</definedName>
    <definedName name="Z_D1467C25_646C_4F1A_9353_0E890E575522_.wvu.PrintArea" localSheetId="7" hidden="1">'Exh D State Operating'!$A$3:$K$57</definedName>
    <definedName name="Z_D1467C25_646C_4F1A_9353_0E890E575522_.wvu.PrintArea" localSheetId="1" hidden="1">'Exhibit A'!$A$3:$AI$60</definedName>
    <definedName name="Z_D1467C25_646C_4F1A_9353_0E890E575522_.wvu.PrintArea" localSheetId="14" hidden="1">'EXHIBIT E '!$A$3:$AK$68</definedName>
    <definedName name="Z_D1467C25_646C_4F1A_9353_0E890E575522_.wvu.PrintArea" localSheetId="17" hidden="1">'Exhibit F'!$B$3:$AK$146</definedName>
    <definedName name="Z_D1467C25_646C_4F1A_9353_0E890E575522_.wvu.PrintArea" localSheetId="18" hidden="1">'Exhibit G'!$B$3:$AM$127</definedName>
    <definedName name="Z_D1467C25_646C_4F1A_9353_0E890E575522_.wvu.PrintArea" localSheetId="20" hidden="1">'Exhibit G Federal'!$B$2:$AK$96</definedName>
    <definedName name="Z_D1467C25_646C_4F1A_9353_0E890E575522_.wvu.PrintArea" localSheetId="19" hidden="1">'Exhibit G State'!$B$3:$AK$123</definedName>
    <definedName name="Z_D1467C25_646C_4F1A_9353_0E890E575522_.wvu.PrintArea" localSheetId="21" hidden="1">'Exhibit H'!$A$2:$AI$79</definedName>
    <definedName name="Z_D1467C25_646C_4F1A_9353_0E890E575522_.wvu.PrintArea" localSheetId="22" hidden="1">'Exhibit I'!$B$3:$AN$102</definedName>
    <definedName name="Z_D1467C25_646C_4F1A_9353_0E890E575522_.wvu.PrintArea" localSheetId="24" hidden="1">'Exhibit I Federal'!$B$3:$AL$84</definedName>
    <definedName name="Z_D1467C25_646C_4F1A_9353_0E890E575522_.wvu.PrintArea" localSheetId="23" hidden="1">'Exhibit I State'!$B$3:$AL$101</definedName>
    <definedName name="Z_D1467C25_646C_4F1A_9353_0E890E575522_.wvu.PrintArea" localSheetId="25" hidden="1">'Exhibit J'!$A$3:$AJ$52</definedName>
    <definedName name="Z_D1467C25_646C_4F1A_9353_0E890E575522_.wvu.PrintArea" localSheetId="26" hidden="1">'Exhibit K'!$A$3:$AI$49</definedName>
    <definedName name="Z_D1467C25_646C_4F1A_9353_0E890E575522_.wvu.PrintArea" localSheetId="27" hidden="1">'Exhibit L'!$A$3:$AI$47</definedName>
    <definedName name="Z_D1467C25_646C_4F1A_9353_0E890E575522_.wvu.PrintArea" localSheetId="28" hidden="1">'Exhibit M'!$A$3:$AI$47</definedName>
    <definedName name="Z_D1467C25_646C_4F1A_9353_0E890E575522_.wvu.PrintArea" localSheetId="3" hidden="1">Footnotes!$A$2:$O$60</definedName>
    <definedName name="Z_D1467C25_646C_4F1A_9353_0E890E575522_.wvu.PrintArea" localSheetId="36" hidden="1">'HCRA '!$A$3:$Z$63</definedName>
    <definedName name="Z_D1467C25_646C_4F1A_9353_0E890E575522_.wvu.PrintArea" localSheetId="37" hidden="1">'HCRA PROG DISB'!$A$3:$D$71</definedName>
    <definedName name="Z_D1467C25_646C_4F1A_9353_0E890E575522_.wvu.PrintArea" localSheetId="39" hidden="1">'Medicaid Disp Share'!$B$2:$K$52</definedName>
    <definedName name="Z_D1467C25_646C_4F1A_9353_0E890E575522_.wvu.PrintArea" localSheetId="38" hidden="1">'Public Goods '!$A$3:$K$53</definedName>
    <definedName name="Z_D1467C25_646C_4F1A_9353_0E890E575522_.wvu.PrintArea" localSheetId="29" hidden="1">'Sch 1 '!$A$3:$L$158</definedName>
    <definedName name="Z_D1467C25_646C_4F1A_9353_0E890E575522_.wvu.PrintArea" localSheetId="30" hidden="1">'Sch 2 '!$A$3:$K$47</definedName>
    <definedName name="Z_D1467C25_646C_4F1A_9353_0E890E575522_.wvu.PrintArea" localSheetId="31" hidden="1">'Sch 3 '!$A$2:$M$49</definedName>
    <definedName name="Z_D1467C25_646C_4F1A_9353_0E890E575522_.wvu.PrintArea" localSheetId="32" hidden="1">'Sch 4'!$A$3:$K$34</definedName>
    <definedName name="Z_D1467C25_646C_4F1A_9353_0E890E575522_.wvu.PrintArea" localSheetId="33" hidden="1">'Sch 5 '!$A$3:$S$70</definedName>
    <definedName name="Z_D1467C25_646C_4F1A_9353_0E890E575522_.wvu.PrintArea" localSheetId="34" hidden="1">'Sch 5a'!$B$3:$R$33</definedName>
    <definedName name="Z_D1467C25_646C_4F1A_9353_0E890E575522_.wvu.PrintArea" localSheetId="35" hidden="1">'Sch 6'!$B$3:$K$38</definedName>
    <definedName name="Z_D1467C25_646C_4F1A_9353_0E890E575522_.wvu.PrintArea" localSheetId="0" hidden="1">'Table of Contents'!$A$1:$J$66</definedName>
    <definedName name="Z_D1467C25_646C_4F1A_9353_0E890E575522_.wvu.PrintTitles" localSheetId="41" hidden="1">'Appendix F'!$2:$8</definedName>
    <definedName name="Z_D1467C25_646C_4F1A_9353_0E890E575522_.wvu.PrintTitles" localSheetId="16" hidden="1">'Cash Flow State Operating'!$3:$15</definedName>
    <definedName name="Z_D1467C25_646C_4F1A_9353_0E890E575522_.wvu.PrintTitles" localSheetId="15" hidden="1">'Cashflow Governmental'!$3:$15</definedName>
    <definedName name="Z_D1467C25_646C_4F1A_9353_0E890E575522_.wvu.PrintTitles" localSheetId="17" hidden="1">'Exhibit F'!$3:$12</definedName>
    <definedName name="Z_D1467C25_646C_4F1A_9353_0E890E575522_.wvu.PrintTitles" localSheetId="18" hidden="1">'Exhibit G'!$3:$12</definedName>
    <definedName name="Z_D1467C25_646C_4F1A_9353_0E890E575522_.wvu.PrintTitles" localSheetId="20" hidden="1">'Exhibit G Federal'!$3:$12</definedName>
    <definedName name="Z_D1467C25_646C_4F1A_9353_0E890E575522_.wvu.PrintTitles" localSheetId="19" hidden="1">'Exhibit G State'!$3:$12</definedName>
    <definedName name="Z_D1467C25_646C_4F1A_9353_0E890E575522_.wvu.PrintTitles" localSheetId="21" hidden="1">'Exhibit H'!$3:$11</definedName>
    <definedName name="Z_D1467C25_646C_4F1A_9353_0E890E575522_.wvu.PrintTitles" localSheetId="22" hidden="1">'Exhibit I'!$3:$11</definedName>
    <definedName name="Z_D1467C25_646C_4F1A_9353_0E890E575522_.wvu.PrintTitles" localSheetId="24" hidden="1">'Exhibit I Federal'!$3:$12</definedName>
    <definedName name="Z_D1467C25_646C_4F1A_9353_0E890E575522_.wvu.PrintTitles" localSheetId="23" hidden="1">'Exhibit I State'!$3:$12</definedName>
    <definedName name="Z_D1467C25_646C_4F1A_9353_0E890E575522_.wvu.PrintTitles" localSheetId="3" hidden="1">Footnotes!$2:$3</definedName>
    <definedName name="Z_D1467C25_646C_4F1A_9353_0E890E575522_.wvu.PrintTitles" localSheetId="37" hidden="1">'HCRA PROG DISB'!$3:$8</definedName>
    <definedName name="Z_D1467C25_646C_4F1A_9353_0E890E575522_.wvu.PrintTitles" localSheetId="38" hidden="1">'Public Goods '!$5:$11</definedName>
    <definedName name="Z_D1467C25_646C_4F1A_9353_0E890E575522_.wvu.PrintTitles" localSheetId="29" hidden="1">'Sch 1 '!$3:$11</definedName>
    <definedName name="Z_D1467C25_646C_4F1A_9353_0E890E575522_.wvu.PrintTitles" localSheetId="0" hidden="1">'Table of Contents'!$1:$12</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'!$A$3:$AK$68</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9AE1502_86F7_4AAA_AE66_F6A75A634C1B_.wvu.FilterData" localSheetId="11" hidden="1">'Exh D Debt Service'!$A$3:$A$7</definedName>
    <definedName name="Z_F9AE1502_86F7_4AAA_AE66_F6A75A634C1B_.wvu.FilterData" localSheetId="8" hidden="1">'Exh D General Fund'!$A$3:$A$7</definedName>
    <definedName name="Z_F9AE1502_86F7_4AAA_AE66_F6A75A634C1B_.wvu.PrintArea" localSheetId="40" hidden="1">'Appendix E'!$A$2:$AA$30</definedName>
    <definedName name="Z_F9AE1502_86F7_4AAA_AE66_F6A75A634C1B_.wvu.PrintArea" localSheetId="41" hidden="1">'Appendix F'!$A$2:$P$300</definedName>
    <definedName name="Z_F9AE1502_86F7_4AAA_AE66_F6A75A634C1B_.wvu.PrintArea" localSheetId="42" hidden="1">'Appendix G'!$A$3:$Z$60</definedName>
    <definedName name="Z_F9AE1502_86F7_4AAA_AE66_F6A75A634C1B_.wvu.PrintArea" localSheetId="43" hidden="1">'Appendix H'!$A$3:$I$63</definedName>
    <definedName name="Z_F9AE1502_86F7_4AAA_AE66_F6A75A634C1B_.wvu.PrintArea" localSheetId="44" hidden="1">'Appendix I'!$A$3:$I$36</definedName>
    <definedName name="Z_F9AE1502_86F7_4AAA_AE66_F6A75A634C1B_.wvu.PrintArea" localSheetId="16" hidden="1">'Cash Flow State Operating'!$A$3:$AJ$152</definedName>
    <definedName name="Z_F9AE1502_86F7_4AAA_AE66_F6A75A634C1B_.wvu.PrintArea" localSheetId="15" hidden="1">'Cashflow Governmental'!$A$3:$AJ$151</definedName>
    <definedName name="Z_F9AE1502_86F7_4AAA_AE66_F6A75A634C1B_.wvu.PrintArea" localSheetId="2" hidden="1">'Exh A Supp'!$A$3:$AF$63</definedName>
    <definedName name="Z_F9AE1502_86F7_4AAA_AE66_F6A75A634C1B_.wvu.PrintArea" localSheetId="4" hidden="1">'Exh B'!$A$3:$Z$47</definedName>
    <definedName name="Z_F9AE1502_86F7_4AAA_AE66_F6A75A634C1B_.wvu.PrintArea" localSheetId="5" hidden="1">'Exh C'!$A$3:$Y$44</definedName>
    <definedName name="Z_F9AE1502_86F7_4AAA_AE66_F6A75A634C1B_.wvu.PrintArea" localSheetId="12" hidden="1">'Exh D Capital Projects'!$A$3:$O$46</definedName>
    <definedName name="Z_F9AE1502_86F7_4AAA_AE66_F6A75A634C1B_.wvu.PrintArea" localSheetId="13" hidden="1">'Exh D Captl Projects State Fed'!$A$3:$X$46</definedName>
    <definedName name="Z_F9AE1502_86F7_4AAA_AE66_F6A75A634C1B_.wvu.PrintArea" localSheetId="11" hidden="1">'Exh D Debt Service'!$A$3:$K$44</definedName>
    <definedName name="Z_F9AE1502_86F7_4AAA_AE66_F6A75A634C1B_.wvu.PrintArea" localSheetId="8" hidden="1">'Exh D General Fund'!$A$3:$K$59</definedName>
    <definedName name="Z_F9AE1502_86F7_4AAA_AE66_F6A75A634C1B_.wvu.PrintArea" localSheetId="6" hidden="1">'Exh D Governmental  '!$A$3:$K$54</definedName>
    <definedName name="Z_F9AE1502_86F7_4AAA_AE66_F6A75A634C1B_.wvu.PrintArea" localSheetId="9" hidden="1">'Exh D Special Revenue'!$A$3:$O$47</definedName>
    <definedName name="Z_F9AE1502_86F7_4AAA_AE66_F6A75A634C1B_.wvu.PrintArea" localSheetId="10" hidden="1">'Exh D Special Revenue State Fed'!$A$3:$X$45</definedName>
    <definedName name="Z_F9AE1502_86F7_4AAA_AE66_F6A75A634C1B_.wvu.PrintArea" localSheetId="7" hidden="1">'Exh D State Operating'!$A$3:$K$57</definedName>
    <definedName name="Z_F9AE1502_86F7_4AAA_AE66_F6A75A634C1B_.wvu.PrintArea" localSheetId="1" hidden="1">'Exhibit A'!$A$3:$AI$60</definedName>
    <definedName name="Z_F9AE1502_86F7_4AAA_AE66_F6A75A634C1B_.wvu.PrintArea" localSheetId="14" hidden="1">'EXHIBIT E '!$A$3:$AK$68</definedName>
    <definedName name="Z_F9AE1502_86F7_4AAA_AE66_F6A75A634C1B_.wvu.PrintArea" localSheetId="17" hidden="1">'Exhibit F'!$B$3:$AK$146</definedName>
    <definedName name="Z_F9AE1502_86F7_4AAA_AE66_F6A75A634C1B_.wvu.PrintArea" localSheetId="18" hidden="1">'Exhibit G'!$B$3:$AM$127</definedName>
    <definedName name="Z_F9AE1502_86F7_4AAA_AE66_F6A75A634C1B_.wvu.PrintArea" localSheetId="20" hidden="1">'Exhibit G Federal'!$B$2:$AK$96</definedName>
    <definedName name="Z_F9AE1502_86F7_4AAA_AE66_F6A75A634C1B_.wvu.PrintArea" localSheetId="19" hidden="1">'Exhibit G State'!$B$3:$AK$123</definedName>
    <definedName name="Z_F9AE1502_86F7_4AAA_AE66_F6A75A634C1B_.wvu.PrintArea" localSheetId="21" hidden="1">'Exhibit H'!$A$2:$AI$79</definedName>
    <definedName name="Z_F9AE1502_86F7_4AAA_AE66_F6A75A634C1B_.wvu.PrintArea" localSheetId="22" hidden="1">'Exhibit I'!$B$3:$AN$102</definedName>
    <definedName name="Z_F9AE1502_86F7_4AAA_AE66_F6A75A634C1B_.wvu.PrintArea" localSheetId="24" hidden="1">'Exhibit I Federal'!$B$3:$AL$84</definedName>
    <definedName name="Z_F9AE1502_86F7_4AAA_AE66_F6A75A634C1B_.wvu.PrintArea" localSheetId="23" hidden="1">'Exhibit I State'!$B$3:$AL$101</definedName>
    <definedName name="Z_F9AE1502_86F7_4AAA_AE66_F6A75A634C1B_.wvu.PrintArea" localSheetId="25" hidden="1">'Exhibit J'!$A$3:$AJ$52</definedName>
    <definedName name="Z_F9AE1502_86F7_4AAA_AE66_F6A75A634C1B_.wvu.PrintArea" localSheetId="26" hidden="1">'Exhibit K'!$A$3:$AI$49</definedName>
    <definedName name="Z_F9AE1502_86F7_4AAA_AE66_F6A75A634C1B_.wvu.PrintArea" localSheetId="27" hidden="1">'Exhibit L'!$A$3:$AI$47</definedName>
    <definedName name="Z_F9AE1502_86F7_4AAA_AE66_F6A75A634C1B_.wvu.PrintArea" localSheetId="28" hidden="1">'Exhibit M'!$A$3:$AI$47</definedName>
    <definedName name="Z_F9AE1502_86F7_4AAA_AE66_F6A75A634C1B_.wvu.PrintArea" localSheetId="3" hidden="1">Footnotes!$A$2:$O$60</definedName>
    <definedName name="Z_F9AE1502_86F7_4AAA_AE66_F6A75A634C1B_.wvu.PrintArea" localSheetId="36" hidden="1">'HCRA '!$A$3:$Z$63</definedName>
    <definedName name="Z_F9AE1502_86F7_4AAA_AE66_F6A75A634C1B_.wvu.PrintArea" localSheetId="37" hidden="1">'HCRA PROG DISB'!$A$3:$D$71</definedName>
    <definedName name="Z_F9AE1502_86F7_4AAA_AE66_F6A75A634C1B_.wvu.PrintArea" localSheetId="39" hidden="1">'Medicaid Disp Share'!$B$2:$K$52</definedName>
    <definedName name="Z_F9AE1502_86F7_4AAA_AE66_F6A75A634C1B_.wvu.PrintArea" localSheetId="38" hidden="1">'Public Goods '!$A$3:$K$53</definedName>
    <definedName name="Z_F9AE1502_86F7_4AAA_AE66_F6A75A634C1B_.wvu.PrintArea" localSheetId="29" hidden="1">'Sch 1 '!$A$3:$L$158</definedName>
    <definedName name="Z_F9AE1502_86F7_4AAA_AE66_F6A75A634C1B_.wvu.PrintArea" localSheetId="30" hidden="1">'Sch 2 '!$A$3:$K$47</definedName>
    <definedName name="Z_F9AE1502_86F7_4AAA_AE66_F6A75A634C1B_.wvu.PrintArea" localSheetId="31" hidden="1">'Sch 3 '!$A$2:$M$49</definedName>
    <definedName name="Z_F9AE1502_86F7_4AAA_AE66_F6A75A634C1B_.wvu.PrintArea" localSheetId="32" hidden="1">'Sch 4'!$A$3:$K$34</definedName>
    <definedName name="Z_F9AE1502_86F7_4AAA_AE66_F6A75A634C1B_.wvu.PrintArea" localSheetId="33" hidden="1">'Sch 5 '!$A$3:$S$70</definedName>
    <definedName name="Z_F9AE1502_86F7_4AAA_AE66_F6A75A634C1B_.wvu.PrintArea" localSheetId="34" hidden="1">'Sch 5a'!$B$3:$R$33</definedName>
    <definedName name="Z_F9AE1502_86F7_4AAA_AE66_F6A75A634C1B_.wvu.PrintArea" localSheetId="35" hidden="1">'Sch 6'!$B$3:$K$38</definedName>
    <definedName name="Z_F9AE1502_86F7_4AAA_AE66_F6A75A634C1B_.wvu.PrintArea" localSheetId="0" hidden="1">'Table of Contents'!$A$1:$J$66</definedName>
    <definedName name="Z_F9AE1502_86F7_4AAA_AE66_F6A75A634C1B_.wvu.PrintTitles" localSheetId="41" hidden="1">'Appendix F'!$2:$8</definedName>
    <definedName name="Z_F9AE1502_86F7_4AAA_AE66_F6A75A634C1B_.wvu.PrintTitles" localSheetId="16" hidden="1">'Cash Flow State Operating'!$3:$15</definedName>
    <definedName name="Z_F9AE1502_86F7_4AAA_AE66_F6A75A634C1B_.wvu.PrintTitles" localSheetId="15" hidden="1">'Cashflow Governmental'!$3:$15</definedName>
    <definedName name="Z_F9AE1502_86F7_4AAA_AE66_F6A75A634C1B_.wvu.PrintTitles" localSheetId="17" hidden="1">'Exhibit F'!$3:$12</definedName>
    <definedName name="Z_F9AE1502_86F7_4AAA_AE66_F6A75A634C1B_.wvu.PrintTitles" localSheetId="18" hidden="1">'Exhibit G'!$3:$12</definedName>
    <definedName name="Z_F9AE1502_86F7_4AAA_AE66_F6A75A634C1B_.wvu.PrintTitles" localSheetId="20" hidden="1">'Exhibit G Federal'!$3:$12</definedName>
    <definedName name="Z_F9AE1502_86F7_4AAA_AE66_F6A75A634C1B_.wvu.PrintTitles" localSheetId="19" hidden="1">'Exhibit G State'!$3:$12</definedName>
    <definedName name="Z_F9AE1502_86F7_4AAA_AE66_F6A75A634C1B_.wvu.PrintTitles" localSheetId="21" hidden="1">'Exhibit H'!$3:$11</definedName>
    <definedName name="Z_F9AE1502_86F7_4AAA_AE66_F6A75A634C1B_.wvu.PrintTitles" localSheetId="22" hidden="1">'Exhibit I'!$3:$11</definedName>
    <definedName name="Z_F9AE1502_86F7_4AAA_AE66_F6A75A634C1B_.wvu.PrintTitles" localSheetId="24" hidden="1">'Exhibit I Federal'!$3:$12</definedName>
    <definedName name="Z_F9AE1502_86F7_4AAA_AE66_F6A75A634C1B_.wvu.PrintTitles" localSheetId="23" hidden="1">'Exhibit I State'!$3:$12</definedName>
    <definedName name="Z_F9AE1502_86F7_4AAA_AE66_F6A75A634C1B_.wvu.PrintTitles" localSheetId="3" hidden="1">Footnotes!$2:$3</definedName>
    <definedName name="Z_F9AE1502_86F7_4AAA_AE66_F6A75A634C1B_.wvu.PrintTitles" localSheetId="37" hidden="1">'HCRA PROG DISB'!$3:$8</definedName>
    <definedName name="Z_F9AE1502_86F7_4AAA_AE66_F6A75A634C1B_.wvu.PrintTitles" localSheetId="38" hidden="1">'Public Goods '!$5:$11</definedName>
    <definedName name="Z_F9AE1502_86F7_4AAA_AE66_F6A75A634C1B_.wvu.PrintTitles" localSheetId="29" hidden="1">'Sch 1 '!$3:$11</definedName>
    <definedName name="Z_F9AE1502_86F7_4AAA_AE66_F6A75A634C1B_.wvu.PrintTitles" localSheetId="0" hidden="1">'Table of Contents'!$1:$12</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customWorkbookViews>
    <customWorkbookView name="Stephen Raptoulis - Personal View" guid="{83D69B98-1714-4D17-901F-87B47BE66947}" mergeInterval="0" personalView="1" maximized="1" xWindow="-8" yWindow="-8" windowWidth="1936" windowHeight="1048" tabRatio="776" activeSheetId="2"/>
    <customWorkbookView name="cpiser - Personal View" guid="{F9AE1502-86F7-4AAA-AE66-F6A75A634C1B}" mergeInterval="0" personalView="1" maximized="1" xWindow="-11" yWindow="-11" windowWidth="1942" windowHeight="1030" tabRatio="650" activeSheetId="45"/>
    <customWorkbookView name="Shobha Iyer - Personal View" guid="{C41E3923-0A88-49D0-AE43-0E74D386A056}" mergeInterval="0" personalView="1" maximized="1" xWindow="-8" yWindow="-8" windowWidth="1936" windowHeight="1048" tabRatio="1000" activeSheetId="41"/>
    <customWorkbookView name="Corey Nicklas - Personal View" guid="{1DF171D7-3BFC-49F6-B708-0F91FCFAB6E2}" mergeInterval="0" personalView="1" maximized="1" xWindow="985" yWindow="-1088" windowWidth="1936" windowHeight="1048" tabRatio="776" activeSheetId="40"/>
    <customWorkbookView name="Jonathan W Golden - Personal View" guid="{9F00D83C-7F4F-41B5-9976-8610D9EBC976}" mergeInterval="0" personalView="1" maximized="1" xWindow="-8" yWindow="-8" windowWidth="1936" windowHeight="1048" tabRatio="776" activeSheetId="14"/>
    <customWorkbookView name="Kelly Anderson - Personal View" guid="{D1467C25-646C-4F1A-9353-0E890E575522}" mergeInterval="0" personalView="1" maximized="1" xWindow="1912" yWindow="-8" windowWidth="1936" windowHeight="1048" tabRatio="776" activeSheetId="33"/>
    <customWorkbookView name="Laura Hennessey - Personal View" guid="{3A50DD26-AAF5-43D4-97DE-BAE3367A2F29}" mergeInterval="0" personalView="1" maximized="1" xWindow="-8" yWindow="-8" windowWidth="1382" windowHeight="736" tabRatio="776" activeSheetId="33"/>
    <customWorkbookView name="Emad Ibrahim - Personal View" guid="{C3636880-B45B-4897-94F2-F91976416934}" mergeInterval="0" personalView="1" maximized="1" xWindow="-3848" yWindow="57" windowWidth="1936" windowHeight="1048" tabRatio="776" activeSheetId="1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34" i="19" l="1"/>
  <c r="J159" i="30"/>
  <c r="F159" i="30"/>
  <c r="H159" i="30"/>
  <c r="H43" i="40" l="1"/>
  <c r="H35" i="40"/>
  <c r="H22" i="40"/>
  <c r="H16" i="40"/>
  <c r="H46" i="39"/>
  <c r="H39" i="39"/>
  <c r="H29" i="39"/>
  <c r="H23" i="39"/>
  <c r="H31" i="39" l="1"/>
  <c r="H24" i="40"/>
  <c r="H46" i="40" s="1"/>
  <c r="H49" i="39"/>
  <c r="I28" i="45"/>
  <c r="C42" i="44"/>
  <c r="H14" i="44"/>
  <c r="AD12" i="2" l="1"/>
  <c r="F61" i="19" l="1"/>
  <c r="F75" i="19"/>
  <c r="F77" i="19"/>
  <c r="F79" i="19"/>
  <c r="F55" i="19"/>
  <c r="F54" i="19"/>
  <c r="I62" i="25" l="1"/>
  <c r="I63" i="25"/>
  <c r="I61" i="25"/>
  <c r="I80" i="24"/>
  <c r="I80" i="23" s="1"/>
  <c r="P37" i="2" s="1"/>
  <c r="I81" i="24"/>
  <c r="I79" i="24"/>
  <c r="I81" i="23" l="1"/>
  <c r="P38" i="2" s="1"/>
  <c r="I79" i="23"/>
  <c r="P36" i="2" s="1"/>
  <c r="F44" i="19"/>
  <c r="F45" i="19"/>
  <c r="F46" i="19"/>
  <c r="F47" i="19"/>
  <c r="F49" i="19"/>
  <c r="F50" i="19"/>
  <c r="F51" i="19"/>
  <c r="F52" i="19"/>
  <c r="F53" i="19"/>
  <c r="F57" i="19"/>
  <c r="F58" i="19"/>
  <c r="F59" i="19"/>
  <c r="F60" i="19"/>
  <c r="F62" i="19"/>
  <c r="F64" i="19"/>
  <c r="F65" i="19"/>
  <c r="F66" i="19"/>
  <c r="F67" i="19"/>
  <c r="F68" i="19"/>
  <c r="F70" i="19"/>
  <c r="F71" i="19"/>
  <c r="F72" i="19"/>
  <c r="F73" i="19"/>
  <c r="F74" i="19"/>
  <c r="F76" i="19"/>
  <c r="F78" i="19"/>
  <c r="F80" i="19"/>
  <c r="F43" i="40"/>
  <c r="F35" i="40"/>
  <c r="F22" i="40"/>
  <c r="F16" i="40"/>
  <c r="F46" i="39"/>
  <c r="F39" i="39"/>
  <c r="F29" i="39"/>
  <c r="F23" i="39"/>
  <c r="C41" i="10"/>
  <c r="F31" i="39" l="1"/>
  <c r="F49" i="39" s="1"/>
  <c r="F70" i="22"/>
  <c r="L50" i="2" s="1"/>
  <c r="I70" i="24"/>
  <c r="G26" i="26"/>
  <c r="B25" i="5" s="1"/>
  <c r="G17" i="26"/>
  <c r="B18" i="5" s="1"/>
  <c r="I74" i="24"/>
  <c r="I24" i="24"/>
  <c r="I24" i="23" s="1"/>
  <c r="P42" i="15" s="1"/>
  <c r="F48" i="22"/>
  <c r="G29" i="26"/>
  <c r="B28" i="5" s="1"/>
  <c r="I58" i="25"/>
  <c r="I72" i="24"/>
  <c r="I75" i="24"/>
  <c r="I54" i="24"/>
  <c r="I76" i="24"/>
  <c r="I82" i="24"/>
  <c r="G28" i="26"/>
  <c r="B27" i="5" s="1"/>
  <c r="I48" i="24"/>
  <c r="I91" i="24"/>
  <c r="I45" i="24"/>
  <c r="I40" i="24"/>
  <c r="I20" i="24"/>
  <c r="I20" i="23" s="1"/>
  <c r="P35" i="15" s="1"/>
  <c r="F17" i="29"/>
  <c r="F18" i="6" s="1"/>
  <c r="H61" i="20"/>
  <c r="H50" i="18"/>
  <c r="H55" i="20"/>
  <c r="H91" i="18"/>
  <c r="H101" i="20"/>
  <c r="H37" i="3" s="1"/>
  <c r="H106" i="18"/>
  <c r="H33" i="18"/>
  <c r="H54" i="21"/>
  <c r="H64" i="21"/>
  <c r="H83" i="20"/>
  <c r="H22" i="18"/>
  <c r="H95" i="18"/>
  <c r="H95" i="20"/>
  <c r="H31" i="3" s="1"/>
  <c r="H69" i="21"/>
  <c r="H98" i="20"/>
  <c r="H34" i="3" s="1"/>
  <c r="H91" i="20"/>
  <c r="H27" i="3" s="1"/>
  <c r="H31" i="18"/>
  <c r="H33" i="20"/>
  <c r="H33" i="19" s="1"/>
  <c r="H43" i="15" s="1"/>
  <c r="H110" i="18"/>
  <c r="H75" i="18"/>
  <c r="H78" i="20"/>
  <c r="H93" i="20"/>
  <c r="H75" i="20"/>
  <c r="H19" i="18"/>
  <c r="H49" i="18"/>
  <c r="H34" i="18"/>
  <c r="H102" i="20"/>
  <c r="H38" i="3" s="1"/>
  <c r="H42" i="18"/>
  <c r="F24" i="40"/>
  <c r="F46" i="40" s="1"/>
  <c r="M185" i="42"/>
  <c r="M113" i="42"/>
  <c r="M112" i="42"/>
  <c r="M111" i="42"/>
  <c r="M89" i="42"/>
  <c r="M88" i="42"/>
  <c r="H93" i="19" l="1"/>
  <c r="H28" i="2" s="1"/>
  <c r="H29" i="3"/>
  <c r="H83" i="19"/>
  <c r="H19" i="2" s="1"/>
  <c r="H20" i="3"/>
  <c r="D25" i="2"/>
  <c r="D30" i="15"/>
  <c r="G46" i="17"/>
  <c r="G46" i="16"/>
  <c r="D43" i="15"/>
  <c r="D34" i="15"/>
  <c r="G54" i="17"/>
  <c r="D52" i="15"/>
  <c r="G54" i="16"/>
  <c r="G53" i="17"/>
  <c r="D51" i="15"/>
  <c r="G53" i="16"/>
  <c r="G22" i="17"/>
  <c r="D17" i="15"/>
  <c r="G22" i="16"/>
  <c r="G25" i="17"/>
  <c r="G25" i="16"/>
  <c r="D20" i="15"/>
  <c r="G79" i="17"/>
  <c r="D29" i="2"/>
  <c r="D33" i="15"/>
  <c r="I76" i="23"/>
  <c r="P33" i="2" s="1"/>
  <c r="H98" i="19"/>
  <c r="H33" i="2" s="1"/>
  <c r="Z9" i="43"/>
  <c r="G11" i="34"/>
  <c r="AB12" i="16"/>
  <c r="G52" i="44" l="1"/>
  <c r="AA14" i="41"/>
  <c r="AA15" i="41"/>
  <c r="AA16" i="41"/>
  <c r="AA17" i="41"/>
  <c r="AA18" i="41"/>
  <c r="AA19" i="41"/>
  <c r="G81" i="23"/>
  <c r="G79" i="23" l="1"/>
  <c r="G80" i="23"/>
  <c r="F33" i="19" l="1"/>
  <c r="E46" i="17" l="1"/>
  <c r="E46" i="16"/>
  <c r="E54" i="17"/>
  <c r="E54" i="16" l="1"/>
  <c r="F93" i="19"/>
  <c r="E15" i="44"/>
  <c r="I15" i="44" l="1"/>
  <c r="I18" i="44"/>
  <c r="E18" i="44"/>
  <c r="G24" i="23" l="1"/>
  <c r="K21" i="39"/>
  <c r="G20" i="23" l="1"/>
  <c r="Z22" i="43"/>
  <c r="Z31" i="43"/>
  <c r="Z28" i="43"/>
  <c r="G76" i="23" l="1"/>
  <c r="E53" i="17" l="1"/>
  <c r="E53" i="16" l="1"/>
  <c r="F35" i="19" l="1"/>
  <c r="F23" i="19"/>
  <c r="E104" i="17"/>
  <c r="E65" i="17"/>
  <c r="F101" i="19"/>
  <c r="E115" i="17"/>
  <c r="F102" i="19"/>
  <c r="F20" i="19"/>
  <c r="E81" i="17"/>
  <c r="F24" i="19"/>
  <c r="F91" i="19"/>
  <c r="F32" i="19"/>
  <c r="E25" i="17"/>
  <c r="E24" i="17"/>
  <c r="M202" i="42"/>
  <c r="M203" i="42"/>
  <c r="M204" i="42"/>
  <c r="M205" i="42"/>
  <c r="M206" i="42"/>
  <c r="M207" i="42"/>
  <c r="M208" i="42"/>
  <c r="M209" i="42"/>
  <c r="M210" i="42"/>
  <c r="G62" i="23" l="1"/>
  <c r="I43" i="24"/>
  <c r="F24" i="28"/>
  <c r="B23" i="6" s="1"/>
  <c r="I42" i="24"/>
  <c r="I28" i="25"/>
  <c r="I45" i="23" s="1"/>
  <c r="F24" i="29"/>
  <c r="F23" i="6" s="1"/>
  <c r="G91" i="23"/>
  <c r="H80" i="20"/>
  <c r="H20" i="20"/>
  <c r="H20" i="19" s="1"/>
  <c r="G25" i="23"/>
  <c r="G19" i="23"/>
  <c r="E36" i="16" s="1"/>
  <c r="G18" i="23"/>
  <c r="G59" i="23"/>
  <c r="H64" i="18"/>
  <c r="H24" i="20"/>
  <c r="H24" i="19" s="1"/>
  <c r="H32" i="15" s="1"/>
  <c r="G82" i="23"/>
  <c r="G75" i="23"/>
  <c r="E129" i="17"/>
  <c r="E32" i="17"/>
  <c r="F103" i="19"/>
  <c r="F96" i="19"/>
  <c r="E35" i="17"/>
  <c r="E125" i="17"/>
  <c r="E36" i="17"/>
  <c r="E49" i="17"/>
  <c r="E21" i="17"/>
  <c r="E21" i="16"/>
  <c r="E23" i="17"/>
  <c r="E45" i="16"/>
  <c r="E56" i="16"/>
  <c r="E56" i="17"/>
  <c r="E84" i="16"/>
  <c r="E84" i="17"/>
  <c r="E81" i="16"/>
  <c r="E125" i="16"/>
  <c r="E45" i="17"/>
  <c r="E23" i="16"/>
  <c r="E129" i="16"/>
  <c r="F115" i="19"/>
  <c r="E35" i="16"/>
  <c r="E25" i="16"/>
  <c r="E24" i="16"/>
  <c r="E32" i="16"/>
  <c r="F61" i="22" l="1"/>
  <c r="G129" i="17" s="1"/>
  <c r="F24" i="27"/>
  <c r="F25" i="5" s="1"/>
  <c r="AH115" i="19"/>
  <c r="H50" i="20"/>
  <c r="G27" i="26"/>
  <c r="B26" i="5" s="1"/>
  <c r="H60" i="20"/>
  <c r="F37" i="27"/>
  <c r="F36" i="5" s="1"/>
  <c r="I59" i="24"/>
  <c r="F25" i="28"/>
  <c r="B24" i="6" s="1"/>
  <c r="H61" i="18"/>
  <c r="G65" i="17" s="1"/>
  <c r="H23" i="20"/>
  <c r="G35" i="17" s="1"/>
  <c r="H32" i="20"/>
  <c r="H32" i="19" s="1"/>
  <c r="H42" i="15" s="1"/>
  <c r="H62" i="21"/>
  <c r="H91" i="19" s="1"/>
  <c r="H26" i="2" s="1"/>
  <c r="H72" i="18"/>
  <c r="H132" i="18"/>
  <c r="H99" i="18"/>
  <c r="D19" i="2" s="1"/>
  <c r="H67" i="21"/>
  <c r="H90" i="18"/>
  <c r="F20" i="22"/>
  <c r="L28" i="15" s="1"/>
  <c r="I50" i="24"/>
  <c r="I55" i="24"/>
  <c r="H94" i="20"/>
  <c r="H30" i="3" s="1"/>
  <c r="I18" i="24"/>
  <c r="I18" i="23" s="1"/>
  <c r="P29" i="15" s="1"/>
  <c r="H71" i="18"/>
  <c r="H72" i="21"/>
  <c r="H101" i="19" s="1"/>
  <c r="H36" i="2" s="1"/>
  <c r="H52" i="18"/>
  <c r="G56" i="16" s="1"/>
  <c r="F25" i="27"/>
  <c r="F26" i="5" s="1"/>
  <c r="H83" i="18"/>
  <c r="I19" i="24"/>
  <c r="I19" i="23" s="1"/>
  <c r="P32" i="15" s="1"/>
  <c r="H74" i="21"/>
  <c r="F17" i="27"/>
  <c r="F18" i="5" s="1"/>
  <c r="H18" i="18"/>
  <c r="F17" i="28"/>
  <c r="B18" i="6" s="1"/>
  <c r="I57" i="25"/>
  <c r="I75" i="23" s="1"/>
  <c r="P32" i="2" s="1"/>
  <c r="H21" i="21"/>
  <c r="I72" i="25"/>
  <c r="I91" i="23" s="1"/>
  <c r="P49" i="2" s="1"/>
  <c r="F59" i="22"/>
  <c r="L37" i="2" s="1"/>
  <c r="I38" i="24"/>
  <c r="F21" i="37"/>
  <c r="I44" i="25"/>
  <c r="H44" i="18"/>
  <c r="D45" i="15" s="1"/>
  <c r="H107" i="18"/>
  <c r="D26" i="2" s="1"/>
  <c r="I73" i="25"/>
  <c r="I29" i="25"/>
  <c r="I39" i="14"/>
  <c r="H41" i="18"/>
  <c r="D42" i="15" s="1"/>
  <c r="H88" i="18"/>
  <c r="H78" i="18"/>
  <c r="I64" i="25"/>
  <c r="I82" i="23" s="1"/>
  <c r="P41" i="2" s="1"/>
  <c r="H53" i="18"/>
  <c r="D55" i="15" s="1"/>
  <c r="H111" i="18"/>
  <c r="D30" i="2" s="1"/>
  <c r="H87" i="18"/>
  <c r="H31" i="21"/>
  <c r="H55" i="19" s="1"/>
  <c r="G18" i="26"/>
  <c r="B19" i="5" s="1"/>
  <c r="H96" i="20"/>
  <c r="H32" i="3" s="1"/>
  <c r="H57" i="20"/>
  <c r="H32" i="18"/>
  <c r="G36" i="17" s="1"/>
  <c r="H113" i="20"/>
  <c r="H50" i="3" s="1"/>
  <c r="F23" i="22"/>
  <c r="L45" i="15" s="1"/>
  <c r="H79" i="20"/>
  <c r="H29" i="18"/>
  <c r="D28" i="15" s="1"/>
  <c r="H40" i="18"/>
  <c r="D41" i="15" s="1"/>
  <c r="F57" i="2"/>
  <c r="F42" i="37"/>
  <c r="H70" i="18"/>
  <c r="U41" i="11"/>
  <c r="H118" i="18"/>
  <c r="H45" i="18"/>
  <c r="D46" i="15" s="1"/>
  <c r="H46" i="21"/>
  <c r="H75" i="19" s="1"/>
  <c r="F26" i="22"/>
  <c r="L53" i="15" s="1"/>
  <c r="H68" i="18"/>
  <c r="F42" i="22"/>
  <c r="H66" i="21"/>
  <c r="H95" i="19" s="1"/>
  <c r="H30" i="2" s="1"/>
  <c r="H86" i="21"/>
  <c r="H21" i="18"/>
  <c r="G24" i="17" s="1"/>
  <c r="H113" i="18"/>
  <c r="D32" i="2" s="1"/>
  <c r="I57" i="24"/>
  <c r="H20" i="18"/>
  <c r="D18" i="15" s="1"/>
  <c r="F19" i="37"/>
  <c r="H105" i="18"/>
  <c r="D24" i="2" s="1"/>
  <c r="F24" i="2"/>
  <c r="H117" i="18"/>
  <c r="G125" i="17" s="1"/>
  <c r="F16" i="37"/>
  <c r="F36" i="27"/>
  <c r="F35" i="5" s="1"/>
  <c r="F27" i="22"/>
  <c r="L55" i="15" s="1"/>
  <c r="H54" i="20"/>
  <c r="I25" i="24"/>
  <c r="I25" i="23" s="1"/>
  <c r="P46" i="15" s="1"/>
  <c r="I41" i="25"/>
  <c r="H73" i="21"/>
  <c r="H102" i="19" s="1"/>
  <c r="H37" i="2" s="1"/>
  <c r="F53" i="22"/>
  <c r="L19" i="2" s="1"/>
  <c r="F26" i="27"/>
  <c r="F27" i="5" s="1"/>
  <c r="H103" i="20"/>
  <c r="H39" i="3" s="1"/>
  <c r="H112" i="20"/>
  <c r="H49" i="3" s="1"/>
  <c r="H133" i="18"/>
  <c r="H32" i="21"/>
  <c r="H61" i="19" s="1"/>
  <c r="H73" i="18"/>
  <c r="H35" i="20"/>
  <c r="H35" i="19" s="1"/>
  <c r="H46" i="15" s="1"/>
  <c r="I69" i="24"/>
  <c r="H28" i="15"/>
  <c r="I62" i="24"/>
  <c r="G104" i="17"/>
  <c r="F25" i="29"/>
  <c r="F24" i="6" s="1"/>
  <c r="F26" i="29"/>
  <c r="F25" i="6" s="1"/>
  <c r="E49" i="16"/>
  <c r="E126" i="16"/>
  <c r="E126" i="17"/>
  <c r="E48" i="16"/>
  <c r="E57" i="17"/>
  <c r="E48" i="17"/>
  <c r="E57" i="16"/>
  <c r="F83" i="19"/>
  <c r="E107" i="17"/>
  <c r="E85" i="17"/>
  <c r="AI25" i="29"/>
  <c r="G57" i="16" l="1"/>
  <c r="H57" i="19"/>
  <c r="G81" i="16" s="1"/>
  <c r="G84" i="17"/>
  <c r="H60" i="19"/>
  <c r="G126" i="17"/>
  <c r="G129" i="16"/>
  <c r="G57" i="17"/>
  <c r="H23" i="19"/>
  <c r="L40" i="2"/>
  <c r="G56" i="17"/>
  <c r="G21" i="17"/>
  <c r="D16" i="15"/>
  <c r="I59" i="23"/>
  <c r="G119" i="17"/>
  <c r="D37" i="2"/>
  <c r="G81" i="17"/>
  <c r="G24" i="16"/>
  <c r="D19" i="15"/>
  <c r="G49" i="16"/>
  <c r="G49" i="17"/>
  <c r="G85" i="17"/>
  <c r="G107" i="17"/>
  <c r="G115" i="17"/>
  <c r="G23" i="17"/>
  <c r="G23" i="16"/>
  <c r="G48" i="16"/>
  <c r="D36" i="2"/>
  <c r="G45" i="17"/>
  <c r="G125" i="16"/>
  <c r="H103" i="19"/>
  <c r="H38" i="2" s="1"/>
  <c r="D54" i="15"/>
  <c r="H115" i="19"/>
  <c r="H50" i="2" s="1"/>
  <c r="H96" i="19"/>
  <c r="H31" i="2" s="1"/>
  <c r="G32" i="17"/>
  <c r="G126" i="16"/>
  <c r="I62" i="23"/>
  <c r="P19" i="2" s="1"/>
  <c r="D32" i="15"/>
  <c r="G85" i="16"/>
  <c r="G21" i="16"/>
  <c r="G36" i="16"/>
  <c r="G118" i="17"/>
  <c r="G32" i="16"/>
  <c r="G45" i="16"/>
  <c r="G48" i="17"/>
  <c r="H25" i="18"/>
  <c r="H112" i="18"/>
  <c r="E107" i="16"/>
  <c r="M20" i="41"/>
  <c r="G35" i="16" l="1"/>
  <c r="H31" i="15"/>
  <c r="G107" i="16"/>
  <c r="G120" i="17"/>
  <c r="D31" i="2"/>
  <c r="D23" i="15"/>
  <c r="E120" i="17"/>
  <c r="E118" i="17"/>
  <c r="L17" i="43"/>
  <c r="I58" i="24" l="1"/>
  <c r="F26" i="28"/>
  <c r="B25" i="6" s="1"/>
  <c r="H31" i="20"/>
  <c r="H109" i="18"/>
  <c r="J29" i="36"/>
  <c r="H31" i="19" l="1"/>
  <c r="H41" i="15" s="1"/>
  <c r="G44" i="17"/>
  <c r="G117" i="17"/>
  <c r="G117" i="16"/>
  <c r="D28" i="2"/>
  <c r="F98" i="19"/>
  <c r="F31" i="19"/>
  <c r="E44" i="17"/>
  <c r="E117" i="17"/>
  <c r="H128" i="18" l="1"/>
  <c r="E117" i="16"/>
  <c r="Z26" i="43"/>
  <c r="E41" i="44" l="1"/>
  <c r="E40" i="44"/>
  <c r="E38" i="44"/>
  <c r="E37" i="44"/>
  <c r="E36" i="44"/>
  <c r="E35" i="44"/>
  <c r="E51" i="44"/>
  <c r="E50" i="44"/>
  <c r="E49" i="44"/>
  <c r="E48" i="44"/>
  <c r="E47" i="44"/>
  <c r="E46" i="44"/>
  <c r="E45" i="44"/>
  <c r="E44" i="44"/>
  <c r="E43" i="44"/>
  <c r="E42" i="44"/>
  <c r="E39" i="44"/>
  <c r="E34" i="44"/>
  <c r="E33" i="44"/>
  <c r="E32" i="44"/>
  <c r="E31" i="44"/>
  <c r="E30" i="44"/>
  <c r="E29" i="44"/>
  <c r="E28" i="44"/>
  <c r="E27" i="44"/>
  <c r="E26" i="44"/>
  <c r="E25" i="44"/>
  <c r="E24" i="44"/>
  <c r="E23" i="44"/>
  <c r="E22" i="44"/>
  <c r="E21" i="44"/>
  <c r="E20" i="44"/>
  <c r="E19" i="44"/>
  <c r="E17" i="44"/>
  <c r="E16" i="44"/>
  <c r="E14" i="44"/>
  <c r="E13" i="44"/>
  <c r="E12" i="44"/>
  <c r="E11" i="44"/>
  <c r="I25" i="45"/>
  <c r="E25" i="45"/>
  <c r="I24" i="45"/>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H68" i="21" l="1"/>
  <c r="H114" i="18"/>
  <c r="H130" i="18"/>
  <c r="E39" i="13"/>
  <c r="E49" i="7" s="1"/>
  <c r="G122" i="17" l="1"/>
  <c r="G122" i="16"/>
  <c r="D33" i="2"/>
  <c r="I51" i="25"/>
  <c r="I69" i="23" s="1"/>
  <c r="P25" i="2" s="1"/>
  <c r="I73" i="24"/>
  <c r="H43" i="18"/>
  <c r="H60" i="21"/>
  <c r="H49" i="21"/>
  <c r="H78" i="19" s="1"/>
  <c r="H72" i="20"/>
  <c r="E122" i="17"/>
  <c r="AL51" i="25"/>
  <c r="G69" i="23"/>
  <c r="N22" i="35"/>
  <c r="D44" i="15" l="1"/>
  <c r="E122" i="16"/>
  <c r="R22" i="35"/>
  <c r="E59" i="23" l="1"/>
  <c r="D8" i="38" l="1"/>
  <c r="D20" i="19" l="1"/>
  <c r="D23" i="19"/>
  <c r="D24" i="19"/>
  <c r="D31" i="19"/>
  <c r="D32" i="19"/>
  <c r="D33" i="19"/>
  <c r="D35" i="19"/>
  <c r="Y20" i="41" l="1"/>
  <c r="Y24" i="41" s="1"/>
  <c r="W20" i="41"/>
  <c r="W24" i="41" s="1"/>
  <c r="U20" i="41"/>
  <c r="U24" i="41" s="1"/>
  <c r="S20" i="41"/>
  <c r="S24" i="41" s="1"/>
  <c r="Q20" i="41"/>
  <c r="Q24" i="41" s="1"/>
  <c r="O20" i="41"/>
  <c r="O24" i="41" s="1"/>
  <c r="M24" i="41"/>
  <c r="K20" i="41"/>
  <c r="K24" i="41" s="1"/>
  <c r="I20" i="41"/>
  <c r="I24" i="41" s="1"/>
  <c r="G20" i="41"/>
  <c r="G24" i="41" s="1"/>
  <c r="E20" i="41"/>
  <c r="E24" i="41" s="1"/>
  <c r="AA20" i="41" l="1"/>
  <c r="AA24" i="41" s="1"/>
  <c r="W25" i="14" l="1"/>
  <c r="W20" i="14"/>
  <c r="W22" i="14"/>
  <c r="W21" i="14"/>
  <c r="I92" i="24" l="1"/>
  <c r="I92" i="23" s="1"/>
  <c r="P50" i="2" s="1"/>
  <c r="H65" i="21"/>
  <c r="H94" i="19" s="1"/>
  <c r="F94" i="19"/>
  <c r="G92" i="23"/>
  <c r="G104" i="42"/>
  <c r="H29" i="2" l="1"/>
  <c r="E79" i="17"/>
  <c r="H43" i="37"/>
  <c r="I47" i="44" l="1"/>
  <c r="I46" i="44"/>
  <c r="I44" i="44" l="1"/>
  <c r="K211" i="42" l="1"/>
  <c r="I211" i="42"/>
  <c r="G211" i="42"/>
  <c r="E27" i="12" l="1"/>
  <c r="J43" i="37" l="1"/>
  <c r="I49" i="44"/>
  <c r="K33" i="40"/>
  <c r="K32" i="40"/>
  <c r="K31" i="40"/>
  <c r="K21" i="40"/>
  <c r="I20" i="44" l="1"/>
  <c r="L43" i="37" l="1"/>
  <c r="K20" i="40"/>
  <c r="I54" i="44" l="1"/>
  <c r="E54" i="44"/>
  <c r="I21" i="44"/>
  <c r="E28" i="45"/>
  <c r="A50" i="7" l="1"/>
  <c r="G12" i="34"/>
  <c r="N43" i="37" l="1"/>
  <c r="AB12" i="2"/>
  <c r="K11" i="30"/>
  <c r="C11" i="30" s="1"/>
  <c r="E33" i="12" l="1"/>
  <c r="E37" i="12" s="1"/>
  <c r="Z10" i="43"/>
  <c r="A10" i="1"/>
  <c r="O3" i="4"/>
  <c r="F10" i="36" s="1"/>
  <c r="T15" i="5"/>
  <c r="K45" i="39"/>
  <c r="K43" i="39"/>
  <c r="K42" i="39"/>
  <c r="K38" i="39"/>
  <c r="K36" i="39"/>
  <c r="K35" i="39"/>
  <c r="K28" i="39"/>
  <c r="K27" i="39"/>
  <c r="K26" i="39"/>
  <c r="K16" i="39"/>
  <c r="K17" i="39"/>
  <c r="K18" i="39"/>
  <c r="K19" i="39"/>
  <c r="K20" i="39"/>
  <c r="K22" i="39"/>
  <c r="K15" i="39"/>
  <c r="K42" i="40"/>
  <c r="K41" i="40"/>
  <c r="K39" i="40"/>
  <c r="K38" i="40"/>
  <c r="K29" i="40"/>
  <c r="K28" i="40"/>
  <c r="K19" i="40"/>
  <c r="K15" i="40"/>
  <c r="Z23" i="43"/>
  <c r="J40" i="43"/>
  <c r="J36" i="43"/>
  <c r="J17" i="43"/>
  <c r="C7" i="44" l="1"/>
  <c r="E9" i="44" s="1"/>
  <c r="A8" i="30"/>
  <c r="E12" i="34"/>
  <c r="J42" i="43"/>
  <c r="I12" i="34" l="1"/>
  <c r="C8" i="38"/>
  <c r="AA21" i="22" l="1"/>
  <c r="AB34" i="2"/>
  <c r="AB20" i="2"/>
  <c r="P43" i="37" l="1"/>
  <c r="G222" i="42"/>
  <c r="G216" i="42"/>
  <c r="G269" i="42"/>
  <c r="G199" i="42"/>
  <c r="AF59" i="23" l="1"/>
  <c r="AI24" i="20" l="1"/>
  <c r="AK24" i="20" s="1"/>
  <c r="C7" i="45" l="1"/>
  <c r="G7" i="44"/>
  <c r="G7" i="45" s="1"/>
  <c r="Q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AI32" i="20" l="1"/>
  <c r="AK32" i="20" s="1"/>
  <c r="E31" i="9"/>
  <c r="AB9" i="20"/>
  <c r="AB9" i="21"/>
  <c r="O26" i="23" l="1"/>
  <c r="O21" i="23"/>
  <c r="N23" i="18"/>
  <c r="O29" i="23"/>
  <c r="N115" i="20"/>
  <c r="AE14" i="16"/>
  <c r="P13" i="35" s="1"/>
  <c r="N37" i="2"/>
  <c r="O211" i="42" l="1"/>
  <c r="M26" i="16"/>
  <c r="M30" i="16" s="1"/>
  <c r="M26" i="17"/>
  <c r="O31" i="23"/>
  <c r="F32" i="2"/>
  <c r="M211" i="42" l="1"/>
  <c r="H17" i="43" l="1"/>
  <c r="J115" i="20" l="1"/>
  <c r="S31" i="11" l="1"/>
  <c r="I14" i="44" l="1"/>
  <c r="N19" i="2" l="1"/>
  <c r="N40" i="2"/>
  <c r="S24" i="14"/>
  <c r="AI74" i="21"/>
  <c r="AK74" i="21" s="1"/>
  <c r="H35" i="5" l="1"/>
  <c r="C39" i="13" l="1"/>
  <c r="I50" i="44" l="1"/>
  <c r="N15" i="2" l="1"/>
  <c r="S24" i="11"/>
  <c r="AD51" i="18"/>
  <c r="F36" i="2" l="1"/>
  <c r="F18" i="15" l="1"/>
  <c r="N50" i="2" l="1"/>
  <c r="E18" i="23"/>
  <c r="J23" i="18"/>
  <c r="L23" i="18"/>
  <c r="AF18" i="23" l="1"/>
  <c r="AI93" i="20"/>
  <c r="AK93" i="20" s="1"/>
  <c r="K34" i="40" l="1"/>
  <c r="K43" i="40" l="1"/>
  <c r="Z34" i="43" l="1"/>
  <c r="H26" i="45" l="1"/>
  <c r="G26" i="45"/>
  <c r="G30" i="45" l="1"/>
  <c r="H30" i="45"/>
  <c r="R43" i="37" l="1"/>
  <c r="D26" i="45"/>
  <c r="D30" i="45" l="1"/>
  <c r="AI31" i="20"/>
  <c r="AK31" i="20" s="1"/>
  <c r="E26" i="45"/>
  <c r="Q29" i="23" l="1"/>
  <c r="P23" i="18"/>
  <c r="Q21" i="23"/>
  <c r="P115" i="20"/>
  <c r="O26" i="16"/>
  <c r="O26" i="17"/>
  <c r="Q26" i="23"/>
  <c r="E30" i="45"/>
  <c r="I26" i="45"/>
  <c r="G24" i="11"/>
  <c r="O30" i="16" l="1"/>
  <c r="Q31" i="23"/>
  <c r="I30" i="45"/>
  <c r="Q35" i="11" l="1"/>
  <c r="Z30" i="43" l="1"/>
  <c r="Z29" i="43"/>
  <c r="K12" i="39" l="1"/>
  <c r="Z20" i="43" l="1"/>
  <c r="I51" i="44" l="1"/>
  <c r="I45" i="44"/>
  <c r="I43" i="44"/>
  <c r="I42" i="44"/>
  <c r="I41" i="44"/>
  <c r="I40" i="44"/>
  <c r="I39" i="44"/>
  <c r="I38" i="44"/>
  <c r="I37" i="44"/>
  <c r="I36" i="44"/>
  <c r="I35" i="44"/>
  <c r="I34" i="44"/>
  <c r="I33" i="44"/>
  <c r="I32" i="44"/>
  <c r="I31" i="44"/>
  <c r="I30" i="44"/>
  <c r="I29" i="44"/>
  <c r="I28" i="44"/>
  <c r="I27" i="44"/>
  <c r="I26" i="44"/>
  <c r="I25" i="44"/>
  <c r="I24" i="44"/>
  <c r="I23" i="44"/>
  <c r="I22" i="44"/>
  <c r="I19" i="44"/>
  <c r="I17" i="44"/>
  <c r="I16" i="44"/>
  <c r="I13" i="44"/>
  <c r="I12" i="44"/>
  <c r="I11" i="44"/>
  <c r="H29" i="36"/>
  <c r="H21" i="36"/>
  <c r="J21" i="36" s="1"/>
  <c r="E52" i="44" l="1"/>
  <c r="D52" i="44"/>
  <c r="D43" i="40"/>
  <c r="D35" i="40"/>
  <c r="D22" i="40"/>
  <c r="D16" i="40"/>
  <c r="D46" i="39"/>
  <c r="D39" i="39"/>
  <c r="D29" i="39"/>
  <c r="D23" i="39"/>
  <c r="D56" i="44" l="1"/>
  <c r="E56" i="44"/>
  <c r="D31" i="39"/>
  <c r="D49" i="39" s="1"/>
  <c r="D51" i="39" s="1"/>
  <c r="F12" i="39" s="1"/>
  <c r="F51" i="39" s="1"/>
  <c r="H12" i="39" s="1"/>
  <c r="H51" i="39" s="1"/>
  <c r="D24" i="40"/>
  <c r="D46" i="40" s="1"/>
  <c r="D48" i="40" s="1"/>
  <c r="F12" i="40" s="1"/>
  <c r="F48" i="40" s="1"/>
  <c r="H12" i="40" s="1"/>
  <c r="H48" i="40" s="1"/>
  <c r="O21" i="26" l="1"/>
  <c r="M21" i="26"/>
  <c r="K21" i="26"/>
  <c r="M29" i="24"/>
  <c r="O29" i="24"/>
  <c r="Q29" i="24"/>
  <c r="N19" i="29" l="1"/>
  <c r="L19" i="29"/>
  <c r="J19" i="29"/>
  <c r="N19" i="28"/>
  <c r="L19" i="28"/>
  <c r="X24" i="22"/>
  <c r="X21" i="22"/>
  <c r="V24" i="22"/>
  <c r="V21" i="22"/>
  <c r="T24" i="22"/>
  <c r="T21" i="22"/>
  <c r="R24" i="22"/>
  <c r="R21" i="22"/>
  <c r="P21" i="22"/>
  <c r="N24" i="22"/>
  <c r="N21" i="22"/>
  <c r="L24" i="22"/>
  <c r="L21" i="22"/>
  <c r="J24" i="22"/>
  <c r="J21" i="22"/>
  <c r="X19" i="27"/>
  <c r="R19" i="27"/>
  <c r="P19" i="27"/>
  <c r="N19" i="27"/>
  <c r="L19" i="27"/>
  <c r="J19" i="27"/>
  <c r="H19" i="27"/>
  <c r="G32" i="12" l="1"/>
  <c r="G25" i="12"/>
  <c r="G32" i="14"/>
  <c r="G30" i="12"/>
  <c r="G31" i="12"/>
  <c r="I21" i="26"/>
  <c r="H21" i="22"/>
  <c r="K29" i="24"/>
  <c r="H24" i="22"/>
  <c r="M26" i="24"/>
  <c r="N28" i="29"/>
  <c r="N32" i="29" s="1"/>
  <c r="J28" i="28"/>
  <c r="N28" i="28"/>
  <c r="N32" i="28" s="1"/>
  <c r="L28" i="29"/>
  <c r="L32" i="29" s="1"/>
  <c r="V63" i="22"/>
  <c r="O21" i="24"/>
  <c r="X28" i="22"/>
  <c r="L72" i="22"/>
  <c r="P72" i="22"/>
  <c r="H28" i="28"/>
  <c r="J28" i="29"/>
  <c r="J32" i="29" s="1"/>
  <c r="L28" i="28"/>
  <c r="L32" i="28" s="1"/>
  <c r="H28" i="29"/>
  <c r="J72" i="22"/>
  <c r="N72" i="22"/>
  <c r="H28" i="22"/>
  <c r="J28" i="22"/>
  <c r="N28" i="22"/>
  <c r="K26" i="24"/>
  <c r="V28" i="22"/>
  <c r="Q26" i="24"/>
  <c r="AA21" i="24"/>
  <c r="M21" i="24"/>
  <c r="K21" i="24"/>
  <c r="O26" i="24"/>
  <c r="Q21" i="24"/>
  <c r="R72" i="22"/>
  <c r="X63" i="22"/>
  <c r="T63" i="22"/>
  <c r="J63" i="22"/>
  <c r="L28" i="22"/>
  <c r="L63" i="22"/>
  <c r="N63" i="22"/>
  <c r="P63" i="22"/>
  <c r="R63" i="22"/>
  <c r="N28" i="27"/>
  <c r="N32" i="27" s="1"/>
  <c r="L28" i="27"/>
  <c r="L32" i="27" s="1"/>
  <c r="J28" i="27"/>
  <c r="J32" i="27" s="1"/>
  <c r="H28" i="27"/>
  <c r="H32" i="27" s="1"/>
  <c r="S31" i="14" l="1"/>
  <c r="N30" i="22"/>
  <c r="L30" i="22"/>
  <c r="J30" i="22"/>
  <c r="H63" i="22"/>
  <c r="H72" i="22"/>
  <c r="H30" i="22"/>
  <c r="M31" i="24"/>
  <c r="Q31" i="24"/>
  <c r="O31" i="24"/>
  <c r="K31" i="24"/>
  <c r="AD19" i="27"/>
  <c r="F19" i="27"/>
  <c r="D19" i="27"/>
  <c r="G21" i="12"/>
  <c r="F63" i="22"/>
  <c r="F24" i="22"/>
  <c r="L16" i="2" s="1"/>
  <c r="F21" i="22"/>
  <c r="L15" i="2" s="1"/>
  <c r="D24" i="22"/>
  <c r="D21" i="22"/>
  <c r="E48" i="8" l="1"/>
  <c r="E26" i="11"/>
  <c r="G33" i="12"/>
  <c r="F28" i="28"/>
  <c r="D63" i="22"/>
  <c r="AA63" i="22"/>
  <c r="F28" i="27"/>
  <c r="F32" i="27" s="1"/>
  <c r="E27" i="14"/>
  <c r="Q33" i="14"/>
  <c r="E35" i="11"/>
  <c r="Q26" i="11"/>
  <c r="E33" i="14"/>
  <c r="I21" i="24"/>
  <c r="D28" i="27"/>
  <c r="D32" i="27" s="1"/>
  <c r="D28" i="22"/>
  <c r="G21" i="24"/>
  <c r="F28" i="22"/>
  <c r="L17" i="2" s="1"/>
  <c r="E37" i="14" l="1"/>
  <c r="Q37" i="14"/>
  <c r="Q40" i="14" s="1"/>
  <c r="K33" i="12"/>
  <c r="Q39" i="11"/>
  <c r="E39" i="11"/>
  <c r="C48" i="8" l="1"/>
  <c r="A51" i="8" l="1"/>
  <c r="AE12" i="26" l="1"/>
  <c r="V12" i="2"/>
  <c r="X12" i="2"/>
  <c r="T9" i="37" l="1"/>
  <c r="AI20" i="20" l="1"/>
  <c r="AK20" i="20" s="1"/>
  <c r="B15" i="6"/>
  <c r="F15" i="6" l="1"/>
  <c r="L15" i="6" s="1"/>
  <c r="Q19" i="29"/>
  <c r="E9" i="45" l="1"/>
  <c r="T19" i="27" l="1"/>
  <c r="T72" i="22"/>
  <c r="T28" i="27"/>
  <c r="F56" i="44"/>
  <c r="T32" i="27" l="1"/>
  <c r="U21" i="26"/>
  <c r="T43" i="37"/>
  <c r="T28" i="28"/>
  <c r="I21" i="23"/>
  <c r="P15" i="2" s="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K12" i="40" l="1"/>
  <c r="H52" i="44"/>
  <c r="H56" i="44" l="1"/>
  <c r="C52" i="44"/>
  <c r="C56" i="44" l="1"/>
  <c r="C26" i="45"/>
  <c r="C30" i="45" l="1"/>
  <c r="AA24" i="22"/>
  <c r="G22" i="12" s="1"/>
  <c r="G31" i="14"/>
  <c r="Z16" i="43"/>
  <c r="Z15" i="43"/>
  <c r="Z12" i="43"/>
  <c r="Z17" i="43" l="1"/>
  <c r="N16" i="2"/>
  <c r="P24" i="22"/>
  <c r="AA19" i="27" l="1"/>
  <c r="H18" i="5"/>
  <c r="C48" i="16"/>
  <c r="C48" i="17"/>
  <c r="B24" i="22"/>
  <c r="V19" i="27" l="1"/>
  <c r="S34" i="11"/>
  <c r="AI33" i="20"/>
  <c r="N45" i="15"/>
  <c r="AK33" i="20" l="1"/>
  <c r="L47" i="15"/>
  <c r="N17" i="3"/>
  <c r="L17" i="3" l="1"/>
  <c r="F45" i="15" l="1"/>
  <c r="X45" i="15" s="1"/>
  <c r="AB48" i="16" l="1"/>
  <c r="AB48" i="17"/>
  <c r="V45" i="15"/>
  <c r="Z21" i="43" l="1"/>
  <c r="Z27" i="43"/>
  <c r="AI82" i="23" l="1"/>
  <c r="AI19" i="23"/>
  <c r="D37" i="3"/>
  <c r="H27" i="5"/>
  <c r="D33" i="3"/>
  <c r="Z33" i="43" l="1"/>
  <c r="P28" i="22" l="1"/>
  <c r="R115" i="20"/>
  <c r="P19" i="28"/>
  <c r="P28" i="29"/>
  <c r="P19" i="29"/>
  <c r="P28" i="28"/>
  <c r="R23" i="18" l="1"/>
  <c r="P28" i="27"/>
  <c r="P32" i="27" s="1"/>
  <c r="Q21" i="26"/>
  <c r="S26" i="24"/>
  <c r="S29" i="24"/>
  <c r="P32" i="28"/>
  <c r="P32" i="29"/>
  <c r="P30" i="22"/>
  <c r="D15" i="6"/>
  <c r="D14" i="6"/>
  <c r="D15" i="5"/>
  <c r="D14" i="5"/>
  <c r="AD21" i="22" l="1"/>
  <c r="AH23" i="19"/>
  <c r="AI23" i="20"/>
  <c r="AK23" i="20" s="1"/>
  <c r="S29" i="23"/>
  <c r="F13" i="15"/>
  <c r="X13" i="15" s="1"/>
  <c r="F12" i="15"/>
  <c r="Z39" i="43" l="1"/>
  <c r="C67" i="34" l="1"/>
  <c r="Z35" i="43" l="1"/>
  <c r="Z25" i="43"/>
  <c r="Z24" i="43"/>
  <c r="W10" i="41" l="1"/>
  <c r="Y10" i="41" s="1"/>
  <c r="I10" i="41"/>
  <c r="O10" i="41" s="1"/>
  <c r="G10" i="41"/>
  <c r="M10" i="41" s="1"/>
  <c r="S10" i="41" s="1"/>
  <c r="E10" i="41"/>
  <c r="K10" i="41" s="1"/>
  <c r="Q10" i="41" s="1"/>
  <c r="B5" i="36"/>
  <c r="A7" i="31" l="1"/>
  <c r="A7" i="32" s="1"/>
  <c r="A6" i="33" s="1"/>
  <c r="AH20" i="19" l="1"/>
  <c r="AG21" i="22"/>
  <c r="AI25" i="23"/>
  <c r="R28" i="28" l="1"/>
  <c r="H26" i="5" l="1"/>
  <c r="R28" i="27" l="1"/>
  <c r="R32" i="27" s="1"/>
  <c r="S21" i="26"/>
  <c r="C49" i="7" l="1"/>
  <c r="B17" i="43"/>
  <c r="F28" i="2" l="1"/>
  <c r="D29" i="3"/>
  <c r="D31" i="3"/>
  <c r="F30" i="2"/>
  <c r="D25" i="3" l="1"/>
  <c r="AI94" i="20" l="1"/>
  <c r="AK94" i="20" s="1"/>
  <c r="S30" i="11"/>
  <c r="B6" i="24"/>
  <c r="J56" i="15" l="1"/>
  <c r="H56" i="15"/>
  <c r="K22" i="40" l="1"/>
  <c r="R21" i="15" l="1"/>
  <c r="P21" i="15"/>
  <c r="N21" i="15"/>
  <c r="L21" i="15"/>
  <c r="J21" i="15"/>
  <c r="H21" i="15"/>
  <c r="W21" i="26" l="1"/>
  <c r="V28" i="27"/>
  <c r="V32" i="27" s="1"/>
  <c r="D55" i="19"/>
  <c r="C57" i="16"/>
  <c r="D75" i="19"/>
  <c r="D103" i="19"/>
  <c r="D102" i="19"/>
  <c r="B28" i="22"/>
  <c r="D83" i="19"/>
  <c r="AI72" i="20" l="1"/>
  <c r="AK72" i="20" s="1"/>
  <c r="V43" i="37"/>
  <c r="V72" i="22"/>
  <c r="V30" i="22"/>
  <c r="V28" i="28"/>
  <c r="AE33" i="19"/>
  <c r="AE20" i="19"/>
  <c r="J28" i="15" s="1"/>
  <c r="AE24" i="19"/>
  <c r="D98" i="19"/>
  <c r="D93" i="19"/>
  <c r="C57" i="17"/>
  <c r="D115" i="19"/>
  <c r="D101" i="19"/>
  <c r="K12" i="34"/>
  <c r="K11" i="34"/>
  <c r="L12" i="32"/>
  <c r="J13" i="33" s="1"/>
  <c r="D12" i="32"/>
  <c r="K14" i="31"/>
  <c r="C14" i="31"/>
  <c r="A8" i="31"/>
  <c r="A8" i="32" s="1"/>
  <c r="A7" i="33" s="1"/>
  <c r="C117" i="16" l="1"/>
  <c r="AB117" i="16" s="1"/>
  <c r="S11" i="34"/>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Q26" i="16" l="1"/>
  <c r="R19" i="28" l="1"/>
  <c r="R32" i="28" s="1"/>
  <c r="T115" i="20"/>
  <c r="R28" i="22"/>
  <c r="R19" i="29"/>
  <c r="U26" i="23"/>
  <c r="U26" i="24" l="1"/>
  <c r="S26" i="17"/>
  <c r="T23" i="18"/>
  <c r="S26" i="16"/>
  <c r="U21" i="24"/>
  <c r="U29" i="24"/>
  <c r="R28" i="29"/>
  <c r="R32" i="29" s="1"/>
  <c r="R30" i="22"/>
  <c r="U31" i="24" l="1"/>
  <c r="U29" i="23"/>
  <c r="AJ18" i="24" l="1"/>
  <c r="AL18" i="24" s="1"/>
  <c r="AI18" i="23"/>
  <c r="AI55" i="20"/>
  <c r="AK55" i="20" s="1"/>
  <c r="AA28" i="27" l="1"/>
  <c r="AA32" i="27" s="1"/>
  <c r="C126" i="17"/>
  <c r="K16" i="40"/>
  <c r="X28" i="27" l="1"/>
  <c r="X32" i="27" s="1"/>
  <c r="K24" i="40"/>
  <c r="A42" i="12" l="1"/>
  <c r="C20" i="41" l="1"/>
  <c r="C24" i="41" s="1"/>
  <c r="Q26" i="17" l="1"/>
  <c r="A52" i="9"/>
  <c r="F33" i="15" l="1"/>
  <c r="A42" i="14"/>
  <c r="A42" i="13"/>
  <c r="A44" i="11"/>
  <c r="A44" i="10"/>
  <c r="C24" i="16" l="1"/>
  <c r="C24" i="17"/>
  <c r="AB24" i="17" s="1"/>
  <c r="F37" i="2" l="1"/>
  <c r="D38" i="3"/>
  <c r="G35" i="9"/>
  <c r="AA21" i="23" l="1"/>
  <c r="B36" i="43" l="1"/>
  <c r="C23" i="16" l="1"/>
  <c r="C54" i="17"/>
  <c r="C35" i="17"/>
  <c r="C120" i="17"/>
  <c r="C129" i="17"/>
  <c r="L38" i="15"/>
  <c r="C104" i="17"/>
  <c r="C54" i="16"/>
  <c r="C117" i="17"/>
  <c r="C23" i="17"/>
  <c r="AB23" i="17" s="1"/>
  <c r="C45" i="17" l="1"/>
  <c r="C79" i="17"/>
  <c r="C129" i="16"/>
  <c r="C32" i="17"/>
  <c r="C53" i="17"/>
  <c r="C53" i="16"/>
  <c r="C125" i="17"/>
  <c r="C118" i="17"/>
  <c r="AA28" i="22" l="1"/>
  <c r="L56" i="15"/>
  <c r="N55" i="15"/>
  <c r="AB81" i="19"/>
  <c r="AB36" i="19"/>
  <c r="AB29" i="19"/>
  <c r="N17" i="2" l="1"/>
  <c r="G23" i="12"/>
  <c r="T28" i="22"/>
  <c r="AB38" i="19"/>
  <c r="AB85" i="19" s="1"/>
  <c r="T30" i="22" l="1"/>
  <c r="I26" i="17" l="1"/>
  <c r="I26" i="16"/>
  <c r="AI80" i="20" l="1"/>
  <c r="AK80" i="20" s="1"/>
  <c r="G34" i="11" l="1"/>
  <c r="G21" i="23"/>
  <c r="L34" i="2"/>
  <c r="W21" i="23" l="1"/>
  <c r="W26" i="24"/>
  <c r="T19" i="29"/>
  <c r="V115" i="20"/>
  <c r="W21" i="24"/>
  <c r="W29" i="24" l="1"/>
  <c r="W31" i="24" s="1"/>
  <c r="V23" i="18"/>
  <c r="V27" i="18" s="1"/>
  <c r="T28" i="29"/>
  <c r="T32" i="29" s="1"/>
  <c r="T19" i="28"/>
  <c r="T32" i="28" s="1"/>
  <c r="W26" i="23"/>
  <c r="W29" i="23"/>
  <c r="U26" i="17" l="1"/>
  <c r="U26" i="16"/>
  <c r="U30" i="16" s="1"/>
  <c r="W31" i="23"/>
  <c r="K23" i="39"/>
  <c r="K46" i="39"/>
  <c r="K39" i="39"/>
  <c r="K29" i="39"/>
  <c r="K31" i="39" l="1"/>
  <c r="K49" i="39" l="1"/>
  <c r="K51" i="39" s="1"/>
  <c r="E69" i="23" l="1"/>
  <c r="AE35" i="17"/>
  <c r="T23" i="6"/>
  <c r="E20" i="23"/>
  <c r="E75" i="23"/>
  <c r="E24" i="23"/>
  <c r="I25" i="10"/>
  <c r="E25" i="23"/>
  <c r="E19" i="23"/>
  <c r="E79" i="23"/>
  <c r="AC77" i="23"/>
  <c r="AC84" i="23" s="1"/>
  <c r="AC60" i="23"/>
  <c r="AC29" i="23"/>
  <c r="AC26" i="23"/>
  <c r="AC21" i="23"/>
  <c r="AF24" i="23" l="1"/>
  <c r="R42" i="15" s="1"/>
  <c r="AF19" i="23"/>
  <c r="AF25" i="23"/>
  <c r="C35" i="16"/>
  <c r="AB35" i="16" s="1"/>
  <c r="C32" i="16"/>
  <c r="AE101" i="19"/>
  <c r="C125" i="16"/>
  <c r="C45" i="16"/>
  <c r="AB23" i="16"/>
  <c r="E80" i="23"/>
  <c r="E82" i="23"/>
  <c r="E81" i="23"/>
  <c r="E76" i="23"/>
  <c r="AC31" i="23"/>
  <c r="AC64" i="23" s="1"/>
  <c r="AC87" i="23" s="1"/>
  <c r="AF82" i="23" l="1"/>
  <c r="R41" i="2" s="1"/>
  <c r="J36" i="2"/>
  <c r="AF76" i="23"/>
  <c r="C126" i="16"/>
  <c r="R33" i="2" l="1"/>
  <c r="S26" i="23" l="1"/>
  <c r="A6" i="37"/>
  <c r="B9" i="37"/>
  <c r="A5" i="45" l="1"/>
  <c r="A6" i="38"/>
  <c r="A6" i="39" s="1"/>
  <c r="AD21" i="24" l="1"/>
  <c r="B6" i="40"/>
  <c r="K10" i="39"/>
  <c r="K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X28" i="28" l="1"/>
  <c r="I11" i="42"/>
  <c r="G11" i="42"/>
  <c r="G272" i="42" s="1"/>
  <c r="G20" i="14"/>
  <c r="Y21" i="24"/>
  <c r="Y21" i="23"/>
  <c r="AF20" i="23"/>
  <c r="AI24" i="23"/>
  <c r="X43" i="37" l="1"/>
  <c r="X72" i="22"/>
  <c r="X30" i="22"/>
  <c r="Y21" i="26"/>
  <c r="F29" i="5"/>
  <c r="K11" i="42" l="1"/>
  <c r="AA28" i="28"/>
  <c r="F29" i="2"/>
  <c r="D30" i="3" l="1"/>
  <c r="D28" i="28" l="1"/>
  <c r="B26" i="6"/>
  <c r="AE55" i="19"/>
  <c r="AF79" i="23" l="1"/>
  <c r="AF69" i="23"/>
  <c r="AF81" i="23"/>
  <c r="AF80" i="23"/>
  <c r="R37" i="2" l="1"/>
  <c r="R38" i="2"/>
  <c r="R25" i="2"/>
  <c r="R36" i="2"/>
  <c r="AB99" i="19"/>
  <c r="B28" i="28" l="1"/>
  <c r="B28" i="27"/>
  <c r="B19" i="27"/>
  <c r="E21" i="24"/>
  <c r="K29" i="23"/>
  <c r="K26" i="23"/>
  <c r="B63" i="22"/>
  <c r="B21" i="22"/>
  <c r="B32" i="27" l="1"/>
  <c r="K21" i="23"/>
  <c r="K31" i="23" l="1"/>
  <c r="R41" i="15" l="1"/>
  <c r="K139" i="30" l="1"/>
  <c r="U21" i="23" l="1"/>
  <c r="U31" i="23" l="1"/>
  <c r="I30" i="16"/>
  <c r="I42" i="10" l="1"/>
  <c r="I40" i="13"/>
  <c r="AI95" i="20" l="1"/>
  <c r="AK95" i="20" s="1"/>
  <c r="N28" i="15"/>
  <c r="N38" i="15" s="1"/>
  <c r="D25" i="19" l="1"/>
  <c r="D72" i="19"/>
  <c r="C29" i="17"/>
  <c r="B30" i="22"/>
  <c r="C68" i="17"/>
  <c r="C41" i="16"/>
  <c r="E29" i="24"/>
  <c r="C21" i="26"/>
  <c r="C34" i="17"/>
  <c r="E35" i="23"/>
  <c r="C91" i="17"/>
  <c r="E28" i="23"/>
  <c r="C67" i="17"/>
  <c r="C41" i="17"/>
  <c r="B43" i="37"/>
  <c r="B72" i="22"/>
  <c r="C29" i="16"/>
  <c r="C113" i="17"/>
  <c r="C119" i="17"/>
  <c r="D95" i="19"/>
  <c r="D89" i="19"/>
  <c r="D22" i="19"/>
  <c r="C34" i="16" s="1"/>
  <c r="AB57" i="17"/>
  <c r="F55" i="15"/>
  <c r="X55" i="15" s="1"/>
  <c r="M266" i="42" l="1"/>
  <c r="I269" i="42"/>
  <c r="I199" i="42"/>
  <c r="M184" i="42"/>
  <c r="K269" i="42"/>
  <c r="M14" i="42"/>
  <c r="K104" i="42"/>
  <c r="M86" i="42"/>
  <c r="I222" i="42"/>
  <c r="I104" i="42"/>
  <c r="K222" i="42"/>
  <c r="M196" i="42"/>
  <c r="K199" i="42"/>
  <c r="F95" i="19"/>
  <c r="E119" i="17"/>
  <c r="E29" i="23"/>
  <c r="V55" i="15"/>
  <c r="AB57" i="16"/>
  <c r="AE35" i="19"/>
  <c r="AH31" i="19"/>
  <c r="G45" i="23" l="1"/>
  <c r="E85" i="16" s="1"/>
  <c r="AH24" i="19"/>
  <c r="AH95" i="19"/>
  <c r="AI80" i="23"/>
  <c r="AH72" i="19"/>
  <c r="AH32" i="19"/>
  <c r="AI81" i="23"/>
  <c r="AE35" i="16"/>
  <c r="AH33" i="19"/>
  <c r="T20" i="5"/>
  <c r="AI79" i="23"/>
  <c r="AI75" i="23"/>
  <c r="AI78" i="20" l="1"/>
  <c r="AK78" i="20" s="1"/>
  <c r="E22" i="17"/>
  <c r="AC23" i="18"/>
  <c r="AD31" i="15"/>
  <c r="E41" i="17" l="1"/>
  <c r="E29" i="17"/>
  <c r="E37" i="17"/>
  <c r="E28" i="16"/>
  <c r="E91" i="17"/>
  <c r="E34" i="17"/>
  <c r="AH78" i="19"/>
  <c r="E68" i="17"/>
  <c r="D72" i="22"/>
  <c r="G29" i="24"/>
  <c r="G35" i="23"/>
  <c r="G23" i="23"/>
  <c r="E22" i="16"/>
  <c r="E21" i="26"/>
  <c r="E28" i="17"/>
  <c r="G30" i="11"/>
  <c r="AI102" i="20"/>
  <c r="AK102" i="20" s="1"/>
  <c r="N53" i="15"/>
  <c r="N56" i="15" s="1"/>
  <c r="M25" i="34" l="1"/>
  <c r="H68" i="20"/>
  <c r="AB21" i="26"/>
  <c r="G19" i="26"/>
  <c r="G21" i="26" s="1"/>
  <c r="I32" i="11"/>
  <c r="I31" i="14"/>
  <c r="I22" i="12"/>
  <c r="I32" i="14"/>
  <c r="H76" i="20"/>
  <c r="H85" i="18"/>
  <c r="I31" i="11"/>
  <c r="F41" i="37"/>
  <c r="I20" i="14"/>
  <c r="M28" i="34"/>
  <c r="I21" i="12"/>
  <c r="AI45" i="20"/>
  <c r="AK45" i="20" s="1"/>
  <c r="H45" i="20"/>
  <c r="G68" i="17" s="1"/>
  <c r="AD19" i="29"/>
  <c r="I35" i="9"/>
  <c r="U39" i="14"/>
  <c r="I30" i="12"/>
  <c r="U24" i="11"/>
  <c r="I34" i="11"/>
  <c r="I39" i="12"/>
  <c r="F28" i="37"/>
  <c r="I40" i="9"/>
  <c r="AC27" i="18"/>
  <c r="H24" i="18"/>
  <c r="D22" i="15" s="1"/>
  <c r="M20" i="34"/>
  <c r="U34" i="11"/>
  <c r="I32" i="12"/>
  <c r="K216" i="42"/>
  <c r="K272" i="42" s="1"/>
  <c r="I41" i="9"/>
  <c r="F17" i="22"/>
  <c r="F30" i="22" s="1"/>
  <c r="N14" i="2"/>
  <c r="AA30" i="22"/>
  <c r="N23" i="15"/>
  <c r="G20" i="12"/>
  <c r="I20" i="12" s="1"/>
  <c r="H43" i="21"/>
  <c r="H72" i="19" s="1"/>
  <c r="F37" i="37"/>
  <c r="H22" i="20"/>
  <c r="H22" i="19" s="1"/>
  <c r="T18" i="6"/>
  <c r="AD19" i="28"/>
  <c r="O35" i="11"/>
  <c r="F36" i="37"/>
  <c r="Z43" i="37"/>
  <c r="H90" i="20"/>
  <c r="H26" i="3" s="1"/>
  <c r="AI90" i="20"/>
  <c r="AK90" i="20" s="1"/>
  <c r="U24" i="14"/>
  <c r="I31" i="12"/>
  <c r="M19" i="34"/>
  <c r="H60" i="18"/>
  <c r="F24" i="15"/>
  <c r="H26" i="18"/>
  <c r="G29" i="17" s="1"/>
  <c r="F38" i="37"/>
  <c r="I216" i="42"/>
  <c r="I272" i="42" s="1"/>
  <c r="H44" i="20"/>
  <c r="H44" i="19" s="1"/>
  <c r="I49" i="9"/>
  <c r="H46" i="20"/>
  <c r="G67" i="34"/>
  <c r="I28" i="24"/>
  <c r="I29" i="24" s="1"/>
  <c r="F43" i="22"/>
  <c r="O33" i="14"/>
  <c r="H63" i="18"/>
  <c r="AJ35" i="24"/>
  <c r="AL35" i="24" s="1"/>
  <c r="I35" i="24"/>
  <c r="M27" i="34"/>
  <c r="F18" i="32"/>
  <c r="H89" i="20"/>
  <c r="H89" i="19" s="1"/>
  <c r="I23" i="12"/>
  <c r="N49" i="2"/>
  <c r="N51" i="2" s="1"/>
  <c r="F69" i="22"/>
  <c r="L49" i="2" s="1"/>
  <c r="L51" i="2" s="1"/>
  <c r="AA72" i="22"/>
  <c r="G26" i="12"/>
  <c r="I26" i="12" s="1"/>
  <c r="I25" i="12"/>
  <c r="U22" i="14"/>
  <c r="M29" i="34"/>
  <c r="I24" i="11"/>
  <c r="U31" i="11"/>
  <c r="U31" i="14"/>
  <c r="I18" i="25"/>
  <c r="AJ18" i="25"/>
  <c r="U25" i="14"/>
  <c r="M54" i="34"/>
  <c r="H84" i="18"/>
  <c r="U20" i="11"/>
  <c r="O26" i="11"/>
  <c r="AB51" i="2"/>
  <c r="F15" i="37"/>
  <c r="I41" i="11"/>
  <c r="U21" i="11"/>
  <c r="O27" i="14"/>
  <c r="H37" i="18"/>
  <c r="G41" i="17" s="1"/>
  <c r="AB41" i="17" s="1"/>
  <c r="F37" i="15"/>
  <c r="X37" i="15" s="1"/>
  <c r="F18" i="37"/>
  <c r="AI35" i="23"/>
  <c r="AL18" i="25"/>
  <c r="AI77" i="20"/>
  <c r="AK77" i="20" s="1"/>
  <c r="H77" i="20"/>
  <c r="AH97" i="19"/>
  <c r="AE25" i="16"/>
  <c r="U22" i="11"/>
  <c r="I23" i="24"/>
  <c r="I23" i="23" s="1"/>
  <c r="P41" i="15" s="1"/>
  <c r="U30" i="11"/>
  <c r="F40" i="37"/>
  <c r="M26" i="34"/>
  <c r="U21" i="14"/>
  <c r="H25" i="20"/>
  <c r="H25" i="19" s="1"/>
  <c r="H67" i="20"/>
  <c r="AJ20" i="24"/>
  <c r="AL20" i="24" s="1"/>
  <c r="AI20" i="23"/>
  <c r="AL20" i="23" s="1"/>
  <c r="AN20" i="23" s="1"/>
  <c r="AG21" i="24"/>
  <c r="I30" i="11"/>
  <c r="E44" i="16"/>
  <c r="G28" i="23"/>
  <c r="G29" i="23" s="1"/>
  <c r="E67" i="17"/>
  <c r="F89" i="19"/>
  <c r="E113" i="17"/>
  <c r="E41" i="16"/>
  <c r="E29" i="16"/>
  <c r="D30" i="22"/>
  <c r="F25" i="19"/>
  <c r="F22" i="19"/>
  <c r="AE102" i="19"/>
  <c r="AB35" i="17"/>
  <c r="AH35" i="17" s="1"/>
  <c r="AJ35" i="17" s="1"/>
  <c r="V31" i="15"/>
  <c r="G34" i="17" l="1"/>
  <c r="C31" i="9"/>
  <c r="G37" i="16"/>
  <c r="H33" i="15"/>
  <c r="I28" i="23"/>
  <c r="I29" i="23" s="1"/>
  <c r="P17" i="2" s="1"/>
  <c r="D24" i="15"/>
  <c r="G34" i="16"/>
  <c r="H30" i="15"/>
  <c r="G113" i="17"/>
  <c r="H25" i="3"/>
  <c r="B20" i="5"/>
  <c r="B21" i="5" s="1"/>
  <c r="G67" i="17"/>
  <c r="G91" i="17"/>
  <c r="AI21" i="23"/>
  <c r="O37" i="14"/>
  <c r="G28" i="16"/>
  <c r="G29" i="16"/>
  <c r="G114" i="17"/>
  <c r="G28" i="17"/>
  <c r="G37" i="17"/>
  <c r="D37" i="15"/>
  <c r="V37" i="15" s="1"/>
  <c r="O39" i="11"/>
  <c r="I35" i="23"/>
  <c r="AF35" i="23" s="1"/>
  <c r="AL35" i="23" s="1"/>
  <c r="AN35" i="23" s="1"/>
  <c r="G41" i="16"/>
  <c r="L23" i="15"/>
  <c r="L14" i="2"/>
  <c r="G44" i="16"/>
  <c r="H24" i="2"/>
  <c r="E34" i="16"/>
  <c r="E37" i="16"/>
  <c r="AE22" i="19"/>
  <c r="Y26" i="24"/>
  <c r="X115" i="20"/>
  <c r="J37" i="2"/>
  <c r="Y29" i="24"/>
  <c r="V28" i="29"/>
  <c r="V19" i="29"/>
  <c r="V19" i="28"/>
  <c r="V32" i="28" s="1"/>
  <c r="AE23" i="19"/>
  <c r="P53" i="15" l="1"/>
  <c r="Y29" i="23"/>
  <c r="Y31" i="24"/>
  <c r="X23" i="18"/>
  <c r="X27" i="18" s="1"/>
  <c r="W26" i="16"/>
  <c r="V32" i="29"/>
  <c r="W26" i="17"/>
  <c r="AK23" i="19"/>
  <c r="AM23" i="19" s="1"/>
  <c r="J31" i="15"/>
  <c r="AH35" i="16"/>
  <c r="AJ35" i="16" s="1"/>
  <c r="AE81" i="17" l="1"/>
  <c r="AH57" i="19"/>
  <c r="AE81" i="16" s="1"/>
  <c r="AI96" i="20"/>
  <c r="AK96" i="20" s="1"/>
  <c r="AH103" i="19"/>
  <c r="AD38" i="2" s="1"/>
  <c r="AI103" i="20"/>
  <c r="AK103" i="20" s="1"/>
  <c r="Y26" i="23"/>
  <c r="W30" i="16"/>
  <c r="AD28" i="22" l="1"/>
  <c r="AG27" i="22"/>
  <c r="AI27" i="22" s="1"/>
  <c r="AH55" i="19"/>
  <c r="I67" i="34"/>
  <c r="T27" i="5"/>
  <c r="AE127" i="16"/>
  <c r="Y31" i="23"/>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2" i="24"/>
  <c r="AL92"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AG26" i="22" l="1"/>
  <c r="AI26" i="22" s="1"/>
  <c r="AG20" i="22"/>
  <c r="AI20" i="22" s="1"/>
  <c r="AJ58" i="24"/>
  <c r="AL58" i="24" s="1"/>
  <c r="AJ42" i="24"/>
  <c r="AL42" i="24" s="1"/>
  <c r="AF75"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F31" i="2"/>
  <c r="D32" i="3" l="1"/>
  <c r="G22" i="13"/>
  <c r="K22" i="13" s="1"/>
  <c r="M22" i="13" s="1"/>
  <c r="P56" i="15" l="1"/>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I95" i="18" l="1"/>
  <c r="AK95" i="18" s="1"/>
  <c r="AI64" i="18"/>
  <c r="AK64" i="18" s="1"/>
  <c r="AI37" i="18" l="1"/>
  <c r="AK37" i="18" s="1"/>
  <c r="AE41" i="17"/>
  <c r="AH41" i="17" s="1"/>
  <c r="AJ41" i="17" s="1"/>
  <c r="AE41" i="16"/>
  <c r="AB117" i="19"/>
  <c r="I34" i="10"/>
  <c r="I35" i="10" s="1"/>
  <c r="T19" i="5"/>
  <c r="W19" i="5" s="1"/>
  <c r="Y19" i="5" s="1"/>
  <c r="AH18" i="26"/>
  <c r="AJ18" i="26" s="1"/>
  <c r="AA26" i="24"/>
  <c r="AA31" i="24" s="1"/>
  <c r="AD13" i="24"/>
  <c r="Z46" i="18"/>
  <c r="AH93" i="19"/>
  <c r="AE117" i="16" s="1"/>
  <c r="X28" i="29"/>
  <c r="AD72" i="22"/>
  <c r="AG72" i="22" s="1"/>
  <c r="AI87" i="18"/>
  <c r="AK87" i="18" s="1"/>
  <c r="AE72" i="19"/>
  <c r="AK72" i="19" s="1"/>
  <c r="AM72" i="19" s="1"/>
  <c r="AK55" i="19"/>
  <c r="AM55" i="19" s="1"/>
  <c r="AI90" i="18"/>
  <c r="AK90" i="18" s="1"/>
  <c r="AI75" i="18"/>
  <c r="AK75" i="18" s="1"/>
  <c r="AI68" i="18"/>
  <c r="AK68" i="18" s="1"/>
  <c r="AI60" i="18"/>
  <c r="AK60" i="18" s="1"/>
  <c r="AD28" i="2" l="1"/>
  <c r="Z115" i="20"/>
  <c r="X19" i="29"/>
  <c r="X32" i="29" s="1"/>
  <c r="X19" i="28"/>
  <c r="X32" i="28" s="1"/>
  <c r="AD37" i="15"/>
  <c r="AH37" i="15" s="1"/>
  <c r="AJ37" i="15" s="1"/>
  <c r="AH41" i="16"/>
  <c r="AJ41" i="16" s="1"/>
  <c r="Z23" i="18"/>
  <c r="Z27" i="18" s="1"/>
  <c r="Y26" i="16"/>
  <c r="AA26" i="23"/>
  <c r="Y26" i="17"/>
  <c r="AH117" i="16" l="1"/>
  <c r="AJ117" i="16" s="1"/>
  <c r="AA31" i="23"/>
  <c r="Y30" i="16"/>
  <c r="L50" i="3" l="1"/>
  <c r="L49" i="3"/>
  <c r="L18" i="3"/>
  <c r="L16" i="3"/>
  <c r="L51" i="3" l="1"/>
  <c r="L20" i="3" l="1"/>
  <c r="Q67" i="34" l="1"/>
  <c r="J38" i="3"/>
  <c r="J34" i="3"/>
  <c r="J32" i="3"/>
  <c r="J31" i="3"/>
  <c r="J30" i="3"/>
  <c r="J29" i="3"/>
  <c r="J26" i="3"/>
  <c r="J25" i="3"/>
  <c r="J20" i="3" l="1"/>
  <c r="J39" i="3"/>
  <c r="J37" i="3"/>
  <c r="AJ81" i="24"/>
  <c r="AL81" i="24" s="1"/>
  <c r="AJ80" i="24"/>
  <c r="AL80" i="24" s="1"/>
  <c r="AJ79" i="24"/>
  <c r="AL79" i="24" s="1"/>
  <c r="AJ76" i="24"/>
  <c r="AL76" i="24" s="1"/>
  <c r="AJ63" i="25"/>
  <c r="AL63" i="25" s="1"/>
  <c r="AJ62" i="25"/>
  <c r="AL62" i="25" s="1"/>
  <c r="AJ61" i="25"/>
  <c r="AL61" i="25" s="1"/>
  <c r="AJ57" i="25"/>
  <c r="AL57" i="25" s="1"/>
  <c r="X39" i="27"/>
  <c r="V39" i="27"/>
  <c r="T39" i="27"/>
  <c r="AG24" i="29"/>
  <c r="AI24" i="29" s="1"/>
  <c r="AE115" i="19" l="1"/>
  <c r="E29" i="8"/>
  <c r="E21" i="8"/>
  <c r="E32" i="8"/>
  <c r="E30" i="8"/>
  <c r="E40" i="7"/>
  <c r="E25" i="8"/>
  <c r="E24" i="8"/>
  <c r="E33" i="8"/>
  <c r="E23" i="8"/>
  <c r="E31" i="8"/>
  <c r="E20" i="8"/>
  <c r="V44" i="27"/>
  <c r="T44" i="27"/>
  <c r="G31" i="10"/>
  <c r="G24" i="10"/>
  <c r="X44" i="27"/>
  <c r="G30" i="10"/>
  <c r="AG53" i="22"/>
  <c r="AI53" i="22" s="1"/>
  <c r="AJ82" i="24"/>
  <c r="AL82" i="24" s="1"/>
  <c r="AG70" i="22"/>
  <c r="AI70" i="22" s="1"/>
  <c r="AG69" i="22"/>
  <c r="AI69" i="22" s="1"/>
  <c r="AJ64" i="25"/>
  <c r="AL64" i="25" s="1"/>
  <c r="AJ25" i="24"/>
  <c r="AL25" i="24" s="1"/>
  <c r="AJ19" i="24"/>
  <c r="AL19" i="24" s="1"/>
  <c r="AJ75" i="24"/>
  <c r="AL75" i="24" s="1"/>
  <c r="AG59" i="22"/>
  <c r="AI59" i="22" s="1"/>
  <c r="N34" i="2"/>
  <c r="K24" i="10" l="1"/>
  <c r="M24" i="10" s="1"/>
  <c r="J50" i="2"/>
  <c r="K31" i="10"/>
  <c r="M31" i="10" s="1"/>
  <c r="K30" i="10"/>
  <c r="M30" i="10" s="1"/>
  <c r="E22" i="7"/>
  <c r="E40" i="14"/>
  <c r="E30" i="7"/>
  <c r="E20" i="7"/>
  <c r="E31" i="7"/>
  <c r="E40" i="12"/>
  <c r="E35" i="10"/>
  <c r="E34" i="8"/>
  <c r="E42" i="11"/>
  <c r="E24" i="7"/>
  <c r="E25" i="7"/>
  <c r="E29" i="7"/>
  <c r="E21" i="7"/>
  <c r="E26" i="10"/>
  <c r="E33" i="13"/>
  <c r="E26" i="8"/>
  <c r="E33" i="7"/>
  <c r="E27" i="13"/>
  <c r="E23" i="7"/>
  <c r="AI72" i="22"/>
  <c r="K31" i="13"/>
  <c r="M31" i="13" s="1"/>
  <c r="AJ21" i="24"/>
  <c r="AL21" i="24" s="1"/>
  <c r="H24" i="6"/>
  <c r="AI109" i="18"/>
  <c r="AK109" i="18" s="1"/>
  <c r="AI110" i="18"/>
  <c r="AK110" i="18" s="1"/>
  <c r="AI117" i="18"/>
  <c r="AK117" i="18" s="1"/>
  <c r="Q42" i="11" l="1"/>
  <c r="E39" i="10"/>
  <c r="E42" i="10" s="1"/>
  <c r="E37" i="8"/>
  <c r="E37" i="13"/>
  <c r="E26" i="7"/>
  <c r="G20" i="13"/>
  <c r="AI118" i="18"/>
  <c r="AK118" i="18" s="1"/>
  <c r="G30" i="7" l="1"/>
  <c r="M168" i="42" l="1"/>
  <c r="M18" i="42"/>
  <c r="M256" i="42"/>
  <c r="M117" i="42"/>
  <c r="M110" i="42"/>
  <c r="M179" i="42"/>
  <c r="M187" i="42"/>
  <c r="M26" i="42"/>
  <c r="M249" i="42"/>
  <c r="M36" i="42"/>
  <c r="M264" i="42"/>
  <c r="M250" i="42"/>
  <c r="M252" i="42"/>
  <c r="M233" i="42"/>
  <c r="M166" i="42"/>
  <c r="M155" i="42"/>
  <c r="M237" i="42"/>
  <c r="M178" i="42"/>
  <c r="M103" i="42"/>
  <c r="M15" i="42"/>
  <c r="M138" i="42"/>
  <c r="M140" i="42"/>
  <c r="M154" i="42"/>
  <c r="M45" i="42"/>
  <c r="M152" i="42"/>
  <c r="M28" i="42"/>
  <c r="M182" i="42"/>
  <c r="M32" i="42"/>
  <c r="M135" i="42"/>
  <c r="M38" i="42"/>
  <c r="M58" i="42"/>
  <c r="M52" i="42"/>
  <c r="M87" i="42"/>
  <c r="M53" i="42"/>
  <c r="M67" i="42"/>
  <c r="M160" i="42"/>
  <c r="M255" i="42"/>
  <c r="M261" i="42"/>
  <c r="M107" i="42"/>
  <c r="O199" i="42"/>
  <c r="M51" i="42"/>
  <c r="M162" i="42"/>
  <c r="M147" i="42"/>
  <c r="M258" i="42"/>
  <c r="M102" i="42"/>
  <c r="M197" i="42"/>
  <c r="M21" i="42"/>
  <c r="M16" i="42"/>
  <c r="M180" i="42"/>
  <c r="M96" i="42"/>
  <c r="M61" i="42"/>
  <c r="M231" i="42"/>
  <c r="M150" i="42"/>
  <c r="M100" i="42"/>
  <c r="M263" i="42"/>
  <c r="M239" i="42"/>
  <c r="M79" i="42"/>
  <c r="M128" i="42"/>
  <c r="M97" i="42"/>
  <c r="M93" i="42"/>
  <c r="M134" i="42"/>
  <c r="M55" i="42"/>
  <c r="M259" i="42"/>
  <c r="M23" i="42"/>
  <c r="M254" i="42"/>
  <c r="M109" i="42"/>
  <c r="M129" i="42"/>
  <c r="M161" i="42"/>
  <c r="M131" i="42"/>
  <c r="M66" i="42"/>
  <c r="M198" i="42"/>
  <c r="M121" i="42"/>
  <c r="M171" i="42"/>
  <c r="M230" i="42"/>
  <c r="M82" i="42"/>
  <c r="M164" i="42"/>
  <c r="M265" i="42"/>
  <c r="M40" i="42"/>
  <c r="M137" i="42"/>
  <c r="M248" i="42"/>
  <c r="M34" i="42"/>
  <c r="M181" i="42"/>
  <c r="M158" i="42"/>
  <c r="M170" i="42"/>
  <c r="M235" i="42"/>
  <c r="M125" i="42"/>
  <c r="M116" i="42"/>
  <c r="M22" i="42"/>
  <c r="M115" i="42"/>
  <c r="M85" i="42"/>
  <c r="M122" i="42"/>
  <c r="M234" i="42"/>
  <c r="M69" i="42"/>
  <c r="M57" i="42"/>
  <c r="M44" i="42"/>
  <c r="M17" i="42"/>
  <c r="M268" i="42"/>
  <c r="M148" i="42"/>
  <c r="M72" i="42"/>
  <c r="M90" i="42"/>
  <c r="M174" i="42"/>
  <c r="M173" i="42"/>
  <c r="M37" i="42"/>
  <c r="M159" i="42"/>
  <c r="M81" i="42"/>
  <c r="M190" i="42"/>
  <c r="M240" i="42"/>
  <c r="M227" i="42"/>
  <c r="M48" i="42"/>
  <c r="M251" i="42"/>
  <c r="M245" i="42"/>
  <c r="M98" i="42"/>
  <c r="M46" i="42"/>
  <c r="M146" i="42"/>
  <c r="M188" i="42"/>
  <c r="M221" i="42"/>
  <c r="M262" i="42"/>
  <c r="M94" i="42"/>
  <c r="M126" i="42"/>
  <c r="M95" i="42"/>
  <c r="M20" i="42"/>
  <c r="M29" i="42"/>
  <c r="M143" i="42"/>
  <c r="M73" i="42"/>
  <c r="M144" i="42"/>
  <c r="M191" i="42"/>
  <c r="M192" i="42"/>
  <c r="M175" i="42"/>
  <c r="M165" i="42"/>
  <c r="M226" i="42"/>
  <c r="M172" i="42"/>
  <c r="M229" i="42"/>
  <c r="M70" i="42"/>
  <c r="M163" i="42"/>
  <c r="M149" i="42"/>
  <c r="M238" i="42"/>
  <c r="M114" i="42"/>
  <c r="M39" i="42"/>
  <c r="M74" i="42"/>
  <c r="M183" i="42"/>
  <c r="M19" i="42"/>
  <c r="M176" i="42"/>
  <c r="M101" i="42"/>
  <c r="M195" i="42"/>
  <c r="M62" i="42"/>
  <c r="M49" i="42"/>
  <c r="M30" i="42"/>
  <c r="M169" i="42"/>
  <c r="M194" i="42"/>
  <c r="M139" i="42"/>
  <c r="M43" i="42"/>
  <c r="M133" i="42"/>
  <c r="M41" i="42"/>
  <c r="M232" i="42"/>
  <c r="M228" i="42"/>
  <c r="M71" i="42"/>
  <c r="M31" i="42"/>
  <c r="M167" i="42"/>
  <c r="M120" i="42"/>
  <c r="M75" i="42"/>
  <c r="M78" i="42"/>
  <c r="M76" i="42"/>
  <c r="M91" i="42"/>
  <c r="M25" i="42"/>
  <c r="M215" i="42"/>
  <c r="M127" i="42"/>
  <c r="M136" i="42"/>
  <c r="M68" i="42"/>
  <c r="M42" i="42"/>
  <c r="O104" i="42"/>
  <c r="M84" i="42"/>
  <c r="M130" i="42"/>
  <c r="M80" i="42"/>
  <c r="M24" i="42"/>
  <c r="M83" i="42"/>
  <c r="M151" i="42"/>
  <c r="M119" i="42"/>
  <c r="M153" i="42"/>
  <c r="M247" i="42"/>
  <c r="M132" i="42"/>
  <c r="M253" i="42"/>
  <c r="M47" i="42"/>
  <c r="M141" i="42"/>
  <c r="M243" i="42"/>
  <c r="M56" i="42"/>
  <c r="M246" i="42"/>
  <c r="O216" i="42"/>
  <c r="M214" i="42"/>
  <c r="M236" i="42"/>
  <c r="M118" i="42"/>
  <c r="M99" i="42"/>
  <c r="M50" i="42"/>
  <c r="M142" i="42"/>
  <c r="M92" i="42"/>
  <c r="M63" i="42"/>
  <c r="M27" i="42"/>
  <c r="M59" i="42"/>
  <c r="M189" i="42"/>
  <c r="M156" i="42"/>
  <c r="M257" i="42"/>
  <c r="M65" i="42"/>
  <c r="M77" i="42"/>
  <c r="M123" i="42"/>
  <c r="M124" i="42"/>
  <c r="M260" i="42"/>
  <c r="M241" i="42"/>
  <c r="M35" i="42"/>
  <c r="M108" i="42"/>
  <c r="M60" i="42"/>
  <c r="M244" i="42"/>
  <c r="M145" i="42"/>
  <c r="M33" i="42"/>
  <c r="O222" i="42"/>
  <c r="M219" i="42"/>
  <c r="M64" i="42"/>
  <c r="M220" i="42"/>
  <c r="M157" i="42"/>
  <c r="M225" i="42"/>
  <c r="O269" i="42"/>
  <c r="M177" i="42"/>
  <c r="M242" i="42"/>
  <c r="M186" i="42"/>
  <c r="M193" i="42"/>
  <c r="M54" i="42"/>
  <c r="M267" i="42"/>
  <c r="K20" i="13"/>
  <c r="M20" i="13" s="1"/>
  <c r="G34" i="10"/>
  <c r="G25" i="11" l="1"/>
  <c r="I25" i="11" s="1"/>
  <c r="J49" i="3"/>
  <c r="AI112" i="20"/>
  <c r="AK112" i="20" s="1"/>
  <c r="AC115" i="20"/>
  <c r="AD26" i="24"/>
  <c r="AD31" i="24" s="1"/>
  <c r="J27" i="3"/>
  <c r="M216" i="42"/>
  <c r="M104" i="42"/>
  <c r="M269" i="42"/>
  <c r="M199" i="42"/>
  <c r="M222" i="42"/>
  <c r="K34" i="10"/>
  <c r="M34" i="10" s="1"/>
  <c r="H51" i="3" l="1"/>
  <c r="E45" i="23"/>
  <c r="E23" i="23"/>
  <c r="F115" i="20"/>
  <c r="E26" i="24"/>
  <c r="E31" i="24" s="1"/>
  <c r="G21" i="14"/>
  <c r="I21" i="14" s="1"/>
  <c r="D91" i="19"/>
  <c r="D115" i="20"/>
  <c r="AI66" i="21"/>
  <c r="AK66" i="21" s="1"/>
  <c r="AI64" i="21"/>
  <c r="AK64" i="21" s="1"/>
  <c r="AI54" i="21"/>
  <c r="E26" i="23" l="1"/>
  <c r="I26" i="24"/>
  <c r="I31" i="24" s="1"/>
  <c r="H115" i="20"/>
  <c r="AF45"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AI44" i="18"/>
  <c r="AK44" i="18" s="1"/>
  <c r="AJ48" i="24"/>
  <c r="AL48" i="24" s="1"/>
  <c r="AH90" i="19"/>
  <c r="AH17" i="26"/>
  <c r="AH21" i="26" s="1"/>
  <c r="AE21" i="26"/>
  <c r="T18" i="5"/>
  <c r="T21" i="5" s="1"/>
  <c r="G21" i="13"/>
  <c r="K21" i="13" s="1"/>
  <c r="M21" i="13" s="1"/>
  <c r="J51" i="3"/>
  <c r="I26" i="23" l="1"/>
  <c r="P16" i="2" s="1"/>
  <c r="P47" i="15"/>
  <c r="G26" i="23"/>
  <c r="AA28" i="29"/>
  <c r="AG26" i="29"/>
  <c r="AI26" i="29" s="1"/>
  <c r="E101" i="30"/>
  <c r="C122" i="16"/>
  <c r="E62" i="23"/>
  <c r="C81" i="17"/>
  <c r="C65" i="17"/>
  <c r="D44" i="19"/>
  <c r="D61" i="19"/>
  <c r="C46" i="16"/>
  <c r="E92" i="23"/>
  <c r="D78" i="19"/>
  <c r="F22" i="15"/>
  <c r="C28" i="17"/>
  <c r="F23" i="15"/>
  <c r="X23" i="15" s="1"/>
  <c r="D96" i="19"/>
  <c r="C49" i="16"/>
  <c r="C22" i="17"/>
  <c r="F17" i="15"/>
  <c r="X17" i="15" s="1"/>
  <c r="B19" i="28"/>
  <c r="B32" i="28" s="1"/>
  <c r="F14" i="2"/>
  <c r="F16" i="15"/>
  <c r="X16" i="15" s="1"/>
  <c r="D94" i="19"/>
  <c r="I26" i="13"/>
  <c r="I27" i="13" s="1"/>
  <c r="F20" i="15"/>
  <c r="X20" i="15" s="1"/>
  <c r="AH20" i="15" s="1"/>
  <c r="AJ20" i="15" s="1"/>
  <c r="AI22" i="18"/>
  <c r="AK22" i="18" s="1"/>
  <c r="D60" i="19"/>
  <c r="C84" i="16" s="1"/>
  <c r="C22" i="16"/>
  <c r="AH57" i="16"/>
  <c r="AJ57" i="16" s="1"/>
  <c r="AJ21" i="26"/>
  <c r="W18" i="5"/>
  <c r="Y18" i="5" s="1"/>
  <c r="C56" i="16"/>
  <c r="AJ17" i="26"/>
  <c r="C36" i="16"/>
  <c r="C37" i="17"/>
  <c r="C25" i="16"/>
  <c r="E91" i="23"/>
  <c r="D57" i="19"/>
  <c r="C115" i="17"/>
  <c r="I26" i="10"/>
  <c r="F28" i="29" l="1"/>
  <c r="F26" i="6"/>
  <c r="I31" i="23"/>
  <c r="H23" i="18"/>
  <c r="G25" i="9"/>
  <c r="I25" i="9" s="1"/>
  <c r="F19" i="2"/>
  <c r="AJ41" i="25"/>
  <c r="AL41" i="25" s="1"/>
  <c r="AE122" i="17"/>
  <c r="AA34" i="3"/>
  <c r="AI98" i="20"/>
  <c r="AK98" i="20" s="1"/>
  <c r="AH61" i="19"/>
  <c r="AE85" i="17"/>
  <c r="AB37" i="17"/>
  <c r="D28" i="29"/>
  <c r="V16" i="15"/>
  <c r="G31" i="23"/>
  <c r="B39" i="27"/>
  <c r="B44" i="27" s="1"/>
  <c r="B19" i="29"/>
  <c r="D46" i="18"/>
  <c r="C122" i="17"/>
  <c r="C36" i="17"/>
  <c r="X21" i="15"/>
  <c r="C25" i="17"/>
  <c r="C56" i="17"/>
  <c r="C107" i="16"/>
  <c r="C46" i="17"/>
  <c r="C28" i="16"/>
  <c r="C44" i="17"/>
  <c r="B28" i="29"/>
  <c r="C49" i="17"/>
  <c r="C85" i="17"/>
  <c r="C44" i="16"/>
  <c r="C107" i="17"/>
  <c r="D23" i="18"/>
  <c r="C85" i="16"/>
  <c r="C21" i="16"/>
  <c r="C21" i="17"/>
  <c r="F21" i="15"/>
  <c r="F25" i="15" s="1"/>
  <c r="G20" i="9"/>
  <c r="I20" i="9" s="1"/>
  <c r="C84" i="17"/>
  <c r="E75" i="25"/>
  <c r="C81" i="16"/>
  <c r="W21" i="5"/>
  <c r="Y21" i="5" s="1"/>
  <c r="AE25" i="19"/>
  <c r="C37" i="16"/>
  <c r="AB21" i="16" l="1"/>
  <c r="T27" i="18"/>
  <c r="R27" i="18"/>
  <c r="P27" i="18"/>
  <c r="N27" i="18"/>
  <c r="L27" i="18"/>
  <c r="AB22" i="17"/>
  <c r="G26" i="16"/>
  <c r="G26" i="17"/>
  <c r="F43" i="37"/>
  <c r="V23" i="15"/>
  <c r="D43" i="37"/>
  <c r="AB21" i="17"/>
  <c r="AB37" i="16"/>
  <c r="E26" i="17"/>
  <c r="D19" i="28"/>
  <c r="D32" i="28" s="1"/>
  <c r="E26" i="16"/>
  <c r="D39" i="27"/>
  <c r="D44" i="27" s="1"/>
  <c r="D19" i="29"/>
  <c r="D32" i="29" s="1"/>
  <c r="B32" i="29"/>
  <c r="D21" i="15"/>
  <c r="C26" i="17"/>
  <c r="C26" i="16"/>
  <c r="C30" i="16" s="1"/>
  <c r="F46" i="18"/>
  <c r="F23" i="18"/>
  <c r="F27" i="18" s="1"/>
  <c r="AB22" i="16"/>
  <c r="V33" i="15"/>
  <c r="J33" i="15"/>
  <c r="J27" i="18" l="1"/>
  <c r="D25" i="15"/>
  <c r="D20" i="3"/>
  <c r="AI57" i="20"/>
  <c r="AK57" i="20" s="1"/>
  <c r="AI114" i="18"/>
  <c r="AK114" i="18" s="1"/>
  <c r="F33" i="2"/>
  <c r="F26" i="2"/>
  <c r="AI70" i="18"/>
  <c r="AK70" i="18" s="1"/>
  <c r="AB104" i="17"/>
  <c r="AH104" i="17" s="1"/>
  <c r="AJ104" i="17" s="1"/>
  <c r="AB68" i="17"/>
  <c r="H27" i="18"/>
  <c r="D14" i="2" s="1"/>
  <c r="G30" i="16"/>
  <c r="E30" i="16"/>
  <c r="AB26" i="16"/>
  <c r="X33" i="15"/>
  <c r="AB81" i="16" l="1"/>
  <c r="AH81" i="16" s="1"/>
  <c r="AJ81" i="16" s="1"/>
  <c r="AB122" i="16"/>
  <c r="AI49" i="21"/>
  <c r="AK49" i="21" s="1"/>
  <c r="D27" i="3"/>
  <c r="D34" i="3"/>
  <c r="AB81" i="17"/>
  <c r="AH81" i="17" s="1"/>
  <c r="AJ81" i="17" s="1"/>
  <c r="AE57" i="19"/>
  <c r="AK57" i="19" s="1"/>
  <c r="AM57" i="19" s="1"/>
  <c r="AL75" i="23"/>
  <c r="AN75" i="23" s="1"/>
  <c r="AL80" i="23"/>
  <c r="AN80" i="23" s="1"/>
  <c r="AL81" i="23"/>
  <c r="AN81" i="23" s="1"/>
  <c r="AL79" i="23"/>
  <c r="AN79" i="23" s="1"/>
  <c r="AE94" i="19"/>
  <c r="AE91" i="19"/>
  <c r="AE89" i="19"/>
  <c r="AE98" i="19"/>
  <c r="AE103" i="19"/>
  <c r="AE95" i="19"/>
  <c r="AE83" i="19"/>
  <c r="AE93" i="19"/>
  <c r="F19" i="28" l="1"/>
  <c r="F32" i="28" s="1"/>
  <c r="I75" i="25"/>
  <c r="AE121" i="16"/>
  <c r="AD32" i="2"/>
  <c r="AE121" i="17"/>
  <c r="AI113" i="18"/>
  <c r="AK113" i="18" s="1"/>
  <c r="AA33" i="3"/>
  <c r="AI61" i="20"/>
  <c r="AK61" i="20" s="1"/>
  <c r="AB38" i="15"/>
  <c r="AJ51" i="25"/>
  <c r="G31" i="26"/>
  <c r="G35" i="26" s="1"/>
  <c r="AH101" i="19"/>
  <c r="AD36" i="2" s="1"/>
  <c r="AI72" i="21"/>
  <c r="AK72" i="21" s="1"/>
  <c r="F39" i="27"/>
  <c r="F44" i="27" s="1"/>
  <c r="AH62" i="19"/>
  <c r="AI61" i="18"/>
  <c r="AK61" i="18" s="1"/>
  <c r="AJ44" i="25"/>
  <c r="AL44" i="25" s="1"/>
  <c r="F19" i="29"/>
  <c r="F32" i="29" s="1"/>
  <c r="AA19" i="29"/>
  <c r="AA32" i="29" s="1"/>
  <c r="AE78" i="19"/>
  <c r="AK78" i="19" s="1"/>
  <c r="AM78" i="19" s="1"/>
  <c r="J19" i="2"/>
  <c r="J38" i="2"/>
  <c r="J24" i="2"/>
  <c r="J28" i="2"/>
  <c r="AK95" i="19"/>
  <c r="AM95" i="19" s="1"/>
  <c r="J30" i="2"/>
  <c r="J33" i="2"/>
  <c r="J26" i="2"/>
  <c r="J29" i="2"/>
  <c r="AK103" i="19"/>
  <c r="AM103" i="19" s="1"/>
  <c r="AK93" i="19"/>
  <c r="AM93" i="19" s="1"/>
  <c r="AL82" i="23"/>
  <c r="AN82" i="23" s="1"/>
  <c r="AI68" i="21" l="1"/>
  <c r="AK68" i="21" s="1"/>
  <c r="M10" i="42"/>
  <c r="M11" i="42" s="1"/>
  <c r="M272" i="42" s="1"/>
  <c r="O11" i="42"/>
  <c r="O272" i="42" s="1"/>
  <c r="J36" i="20"/>
  <c r="AA19" i="28"/>
  <c r="AA32" i="28" s="1"/>
  <c r="K14" i="30"/>
  <c r="I31" i="26"/>
  <c r="I35" i="26" s="1"/>
  <c r="J115" i="18"/>
  <c r="AI46" i="21"/>
  <c r="AK46" i="21" s="1"/>
  <c r="AD28" i="29"/>
  <c r="AD32" i="29" s="1"/>
  <c r="T24" i="6"/>
  <c r="AG25" i="29"/>
  <c r="J88" i="21"/>
  <c r="G27" i="9"/>
  <c r="I27" i="9" s="1"/>
  <c r="H19" i="29"/>
  <c r="H32" i="29" s="1"/>
  <c r="F19" i="6"/>
  <c r="F29" i="6" s="1"/>
  <c r="AE125" i="16"/>
  <c r="H46" i="18"/>
  <c r="D16" i="2" s="1"/>
  <c r="H115" i="18"/>
  <c r="AK101" i="19"/>
  <c r="AM101" i="19" s="1"/>
  <c r="AG28" i="29" l="1"/>
  <c r="AI28" i="29" s="1"/>
  <c r="H19" i="28"/>
  <c r="H32" i="28" s="1"/>
  <c r="J19" i="28"/>
  <c r="J32" i="28" s="1"/>
  <c r="I42" i="26"/>
  <c r="I47" i="26" s="1"/>
  <c r="J38" i="18"/>
  <c r="I58" i="16"/>
  <c r="I30" i="17"/>
  <c r="J99" i="20"/>
  <c r="J106" i="20" s="1"/>
  <c r="J52" i="21"/>
  <c r="J56" i="21" s="1"/>
  <c r="K75" i="25"/>
  <c r="H39" i="29"/>
  <c r="H44" i="29" s="1"/>
  <c r="H51" i="22"/>
  <c r="J97" i="18"/>
  <c r="K59" i="25"/>
  <c r="K66" i="25" s="1"/>
  <c r="K42" i="25"/>
  <c r="K46" i="25" s="1"/>
  <c r="J54" i="18"/>
  <c r="H25" i="37"/>
  <c r="H33" i="37"/>
  <c r="H45" i="37" s="1"/>
  <c r="H39" i="28"/>
  <c r="J81" i="20"/>
  <c r="K77" i="24"/>
  <c r="K84" i="24" s="1"/>
  <c r="K94" i="24"/>
  <c r="K94" i="23"/>
  <c r="K60" i="24"/>
  <c r="K64" i="24" s="1"/>
  <c r="J46" i="18"/>
  <c r="J29" i="20"/>
  <c r="B19" i="6"/>
  <c r="B29" i="6" s="1"/>
  <c r="J70" i="21"/>
  <c r="J79" i="21" s="1"/>
  <c r="J121" i="18"/>
  <c r="J29" i="19"/>
  <c r="H39" i="27"/>
  <c r="H44" i="27" s="1"/>
  <c r="Y35" i="3" l="1"/>
  <c r="L115" i="18"/>
  <c r="AJ91" i="24"/>
  <c r="AL91" i="24" s="1"/>
  <c r="G26" i="14"/>
  <c r="I26" i="14" s="1"/>
  <c r="K31" i="26"/>
  <c r="K35" i="26" s="1"/>
  <c r="L36" i="20"/>
  <c r="H44" i="28"/>
  <c r="I123" i="17"/>
  <c r="I132" i="17" s="1"/>
  <c r="H55" i="22"/>
  <c r="H66" i="22" s="1"/>
  <c r="H76" i="22" s="1"/>
  <c r="I58" i="17"/>
  <c r="K77" i="23"/>
  <c r="K84" i="23" s="1"/>
  <c r="K69" i="25"/>
  <c r="K79" i="25" s="1"/>
  <c r="J82" i="21"/>
  <c r="J92" i="21" s="1"/>
  <c r="I42" i="17"/>
  <c r="I105" i="17"/>
  <c r="I42" i="16"/>
  <c r="J56" i="18"/>
  <c r="J101" i="18" s="1"/>
  <c r="J124" i="18" s="1"/>
  <c r="I50" i="16"/>
  <c r="I50" i="17"/>
  <c r="J117" i="19"/>
  <c r="J81" i="19"/>
  <c r="J99" i="19"/>
  <c r="J108" i="19" s="1"/>
  <c r="J38" i="20"/>
  <c r="J85" i="20" s="1"/>
  <c r="J109" i="20" s="1"/>
  <c r="J119" i="20" s="1"/>
  <c r="L18" i="6"/>
  <c r="K87" i="24"/>
  <c r="K98" i="24" s="1"/>
  <c r="K60" i="23"/>
  <c r="J36" i="19"/>
  <c r="I123" i="16"/>
  <c r="I132" i="16" s="1"/>
  <c r="AI83" i="20" l="1"/>
  <c r="AK83" i="20" s="1"/>
  <c r="AH83" i="19"/>
  <c r="AK83" i="19" s="1"/>
  <c r="AM83" i="19" s="1"/>
  <c r="AI75" i="20"/>
  <c r="AK75" i="20" s="1"/>
  <c r="AH75" i="19"/>
  <c r="S32" i="14"/>
  <c r="U32" i="14" s="1"/>
  <c r="AJ58" i="25"/>
  <c r="AL58" i="25"/>
  <c r="AI76" i="23"/>
  <c r="AL76" i="23" s="1"/>
  <c r="AN76" i="23" s="1"/>
  <c r="AI25" i="18"/>
  <c r="AK25" i="18" s="1"/>
  <c r="AI62" i="21"/>
  <c r="AK62" i="21" s="1"/>
  <c r="L121" i="18"/>
  <c r="L52" i="21"/>
  <c r="L56" i="21" s="1"/>
  <c r="L99" i="20"/>
  <c r="L106" i="20" s="1"/>
  <c r="M94" i="24"/>
  <c r="L46" i="18"/>
  <c r="L97" i="18"/>
  <c r="M94" i="23"/>
  <c r="J51" i="22"/>
  <c r="J39" i="29"/>
  <c r="J44" i="29" s="1"/>
  <c r="L38" i="18"/>
  <c r="L54" i="18"/>
  <c r="L29" i="19"/>
  <c r="K42" i="26"/>
  <c r="K47" i="26" s="1"/>
  <c r="M60" i="24"/>
  <c r="M64" i="24" s="1"/>
  <c r="M75" i="25"/>
  <c r="M59" i="25"/>
  <c r="M66" i="25" s="1"/>
  <c r="M42" i="25"/>
  <c r="M46" i="25" s="1"/>
  <c r="L81" i="20"/>
  <c r="J39" i="27"/>
  <c r="J44" i="27" s="1"/>
  <c r="L88" i="21"/>
  <c r="K30" i="17"/>
  <c r="M77" i="24"/>
  <c r="M84" i="24" s="1"/>
  <c r="L29" i="20"/>
  <c r="L70" i="21"/>
  <c r="L79" i="21" s="1"/>
  <c r="K50" i="17"/>
  <c r="I60" i="17"/>
  <c r="I109" i="17" s="1"/>
  <c r="I135" i="17" s="1"/>
  <c r="I105" i="16"/>
  <c r="I60" i="16"/>
  <c r="J38" i="19"/>
  <c r="J85" i="19" s="1"/>
  <c r="J111" i="19" s="1"/>
  <c r="J121" i="19" s="1"/>
  <c r="K64" i="23"/>
  <c r="K87" i="23" s="1"/>
  <c r="K98" i="23" s="1"/>
  <c r="AI21" i="21" l="1"/>
  <c r="AK21" i="21" s="1"/>
  <c r="AE44" i="19"/>
  <c r="AI79" i="20"/>
  <c r="AK79" i="20" s="1"/>
  <c r="AI40" i="18"/>
  <c r="AK40" i="18" s="1"/>
  <c r="F41" i="15"/>
  <c r="X41" i="15" s="1"/>
  <c r="G32" i="13"/>
  <c r="W32" i="14"/>
  <c r="J33" i="37"/>
  <c r="J45" i="37" s="1"/>
  <c r="J25" i="37"/>
  <c r="K42" i="17"/>
  <c r="K123" i="17"/>
  <c r="K132" i="17" s="1"/>
  <c r="K141" i="17"/>
  <c r="L82" i="21"/>
  <c r="L92" i="21" s="1"/>
  <c r="K105" i="17"/>
  <c r="K58" i="16"/>
  <c r="L99" i="19"/>
  <c r="L108" i="19" s="1"/>
  <c r="L81" i="19"/>
  <c r="L56" i="18"/>
  <c r="L101" i="18" s="1"/>
  <c r="L124" i="18" s="1"/>
  <c r="J55" i="22"/>
  <c r="J66" i="22" s="1"/>
  <c r="J76" i="22" s="1"/>
  <c r="M77" i="23"/>
  <c r="M84" i="23" s="1"/>
  <c r="K42" i="16"/>
  <c r="K58" i="17"/>
  <c r="L38" i="20"/>
  <c r="L85" i="20" s="1"/>
  <c r="L109" i="20" s="1"/>
  <c r="L119" i="20" s="1"/>
  <c r="M87" i="24"/>
  <c r="M98" i="24" s="1"/>
  <c r="M69" i="25"/>
  <c r="M79" i="25" s="1"/>
  <c r="M60" i="23"/>
  <c r="M64" i="23" s="1"/>
  <c r="L117" i="19"/>
  <c r="K50" i="16"/>
  <c r="L36" i="19"/>
  <c r="I109" i="16"/>
  <c r="I135" i="16" s="1"/>
  <c r="Q94" i="24" l="1"/>
  <c r="Q75" i="25"/>
  <c r="G101" i="30"/>
  <c r="O75" i="25"/>
  <c r="N117" i="19"/>
  <c r="AI46" i="20"/>
  <c r="AK46" i="20" s="1"/>
  <c r="AH44" i="19"/>
  <c r="AK44" i="19" s="1"/>
  <c r="AM44" i="19" s="1"/>
  <c r="AI44" i="20"/>
  <c r="AK44" i="20" s="1"/>
  <c r="AI33" i="18"/>
  <c r="AK33" i="18" s="1"/>
  <c r="AJ70" i="24"/>
  <c r="AL70" i="24" s="1"/>
  <c r="F46" i="15"/>
  <c r="X46" i="15" s="1"/>
  <c r="E28" i="31"/>
  <c r="C101" i="30"/>
  <c r="O94" i="24"/>
  <c r="AI67" i="20"/>
  <c r="AK67" i="20" s="1"/>
  <c r="N36" i="19"/>
  <c r="AJ38" i="24"/>
  <c r="AL38" i="24" s="1"/>
  <c r="K60" i="17"/>
  <c r="K109" i="17" s="1"/>
  <c r="K135" i="17" s="1"/>
  <c r="K145" i="17" s="1"/>
  <c r="K123" i="16"/>
  <c r="K132" i="16" s="1"/>
  <c r="K105" i="16"/>
  <c r="K60" i="16"/>
  <c r="M87" i="23"/>
  <c r="M98" i="23" s="1"/>
  <c r="L38" i="19"/>
  <c r="L85" i="19" s="1"/>
  <c r="L111" i="19" s="1"/>
  <c r="L121" i="19" s="1"/>
  <c r="E34" i="7"/>
  <c r="F54" i="15" l="1"/>
  <c r="X54" i="15" s="1"/>
  <c r="V41" i="15"/>
  <c r="N39" i="27"/>
  <c r="N44" i="27" s="1"/>
  <c r="Q94" i="23"/>
  <c r="N51" i="22"/>
  <c r="N55" i="22" s="1"/>
  <c r="N66" i="22" s="1"/>
  <c r="N76" i="22" s="1"/>
  <c r="N39" i="29"/>
  <c r="N44" i="29" s="1"/>
  <c r="O30" i="17"/>
  <c r="P117" i="19"/>
  <c r="O31" i="26"/>
  <c r="O35" i="26" s="1"/>
  <c r="P115" i="18"/>
  <c r="P121" i="18" s="1"/>
  <c r="Q59" i="25"/>
  <c r="Q66" i="25" s="1"/>
  <c r="P97" i="18"/>
  <c r="P81" i="20"/>
  <c r="Q77" i="24"/>
  <c r="Q84" i="24" s="1"/>
  <c r="Q60" i="24"/>
  <c r="Q64" i="24" s="1"/>
  <c r="P52" i="21"/>
  <c r="P56" i="21" s="1"/>
  <c r="Q42" i="25"/>
  <c r="Q46" i="25" s="1"/>
  <c r="N33" i="37"/>
  <c r="N45" i="37" s="1"/>
  <c r="N25" i="37"/>
  <c r="O42" i="26"/>
  <c r="P29" i="20"/>
  <c r="P70" i="21"/>
  <c r="P79" i="21" s="1"/>
  <c r="P99" i="20"/>
  <c r="P106" i="20" s="1"/>
  <c r="P88" i="21"/>
  <c r="P36" i="20"/>
  <c r="L25" i="37"/>
  <c r="N88" i="21"/>
  <c r="M30" i="17"/>
  <c r="N70" i="21"/>
  <c r="N79" i="21" s="1"/>
  <c r="M31" i="26"/>
  <c r="M35" i="26" s="1"/>
  <c r="O42" i="25"/>
  <c r="O46" i="25" s="1"/>
  <c r="O77" i="24"/>
  <c r="O84" i="24" s="1"/>
  <c r="N52" i="21"/>
  <c r="N56" i="21" s="1"/>
  <c r="N29" i="19"/>
  <c r="N97" i="18"/>
  <c r="N115" i="18"/>
  <c r="N121" i="18" s="1"/>
  <c r="N46" i="18"/>
  <c r="L33" i="37"/>
  <c r="L45" i="37" s="1"/>
  <c r="L51" i="22"/>
  <c r="L55" i="22" s="1"/>
  <c r="L66" i="22" s="1"/>
  <c r="L76" i="22" s="1"/>
  <c r="N54" i="18"/>
  <c r="L39" i="29"/>
  <c r="L44" i="29" s="1"/>
  <c r="N36" i="20"/>
  <c r="M42" i="26"/>
  <c r="N29" i="20"/>
  <c r="L39" i="27"/>
  <c r="L44" i="27" s="1"/>
  <c r="N38" i="18"/>
  <c r="N99" i="20"/>
  <c r="N106" i="20" s="1"/>
  <c r="N81" i="20"/>
  <c r="O59" i="25"/>
  <c r="O66" i="25" s="1"/>
  <c r="M123" i="17"/>
  <c r="M132" i="17" s="1"/>
  <c r="M58" i="16"/>
  <c r="K109" i="16"/>
  <c r="K135" i="16" s="1"/>
  <c r="E37" i="7"/>
  <c r="T88" i="21" l="1"/>
  <c r="AK115" i="19"/>
  <c r="AM115" i="19" s="1"/>
  <c r="U94" i="24"/>
  <c r="U75" i="25"/>
  <c r="S75" i="25"/>
  <c r="AI89" i="20"/>
  <c r="AK89" i="20" s="1"/>
  <c r="AI78" i="18"/>
  <c r="AK78" i="18" s="1"/>
  <c r="D18" i="32"/>
  <c r="AI113" i="20"/>
  <c r="AK113" i="20" s="1"/>
  <c r="AF115" i="20"/>
  <c r="AK115" i="20" s="1"/>
  <c r="AD28" i="27"/>
  <c r="AD32" i="27" s="1"/>
  <c r="T26" i="5"/>
  <c r="W26" i="5" s="1"/>
  <c r="Y26" i="5" s="1"/>
  <c r="AG25" i="27"/>
  <c r="AI25" i="27" s="1"/>
  <c r="AI76" i="20"/>
  <c r="AK76" i="20" s="1"/>
  <c r="AI69" i="23"/>
  <c r="AJ69" i="24"/>
  <c r="AL69" i="24" s="1"/>
  <c r="AD28" i="28"/>
  <c r="AD32" i="28" s="1"/>
  <c r="T25" i="6"/>
  <c r="T26" i="6" s="1"/>
  <c r="AG26" i="28"/>
  <c r="AG28" i="28" s="1"/>
  <c r="H36" i="5"/>
  <c r="H37" i="5" s="1"/>
  <c r="H42" i="5" s="1"/>
  <c r="AA39" i="27"/>
  <c r="AA44" i="27" s="1"/>
  <c r="Q31" i="26"/>
  <c r="Q35" i="26" s="1"/>
  <c r="AJ74" i="24"/>
  <c r="AL74" i="24" s="1"/>
  <c r="R115" i="18"/>
  <c r="V54" i="15"/>
  <c r="AE96" i="19"/>
  <c r="J31" i="2" s="1"/>
  <c r="V46" i="15"/>
  <c r="Q77" i="23"/>
  <c r="Q84" i="23" s="1"/>
  <c r="O105" i="17"/>
  <c r="O47" i="26"/>
  <c r="O123" i="17"/>
  <c r="O132" i="17" s="1"/>
  <c r="Q60" i="23"/>
  <c r="Q64" i="23" s="1"/>
  <c r="P36" i="19"/>
  <c r="Q69" i="25"/>
  <c r="Q79" i="25" s="1"/>
  <c r="AB84" i="17"/>
  <c r="Q87" i="24"/>
  <c r="Q98" i="24" s="1"/>
  <c r="P29" i="19"/>
  <c r="N39" i="28"/>
  <c r="N44" i="28" s="1"/>
  <c r="P99" i="19"/>
  <c r="P108" i="19" s="1"/>
  <c r="P81" i="19"/>
  <c r="P38" i="20"/>
  <c r="P85" i="20" s="1"/>
  <c r="P109" i="20" s="1"/>
  <c r="P119" i="20" s="1"/>
  <c r="P82" i="21"/>
  <c r="P92" i="21" s="1"/>
  <c r="P38" i="18"/>
  <c r="P46" i="18"/>
  <c r="P54" i="18"/>
  <c r="N99" i="19"/>
  <c r="N108" i="19" s="1"/>
  <c r="O94" i="23"/>
  <c r="M50" i="16"/>
  <c r="M50" i="17"/>
  <c r="M58" i="17"/>
  <c r="M141" i="17"/>
  <c r="M47" i="26"/>
  <c r="L39" i="28"/>
  <c r="L44" i="28" s="1"/>
  <c r="O69" i="25"/>
  <c r="O79" i="25" s="1"/>
  <c r="N82" i="21"/>
  <c r="N92" i="21" s="1"/>
  <c r="N38" i="19"/>
  <c r="M42" i="16"/>
  <c r="M105" i="17"/>
  <c r="O60" i="23"/>
  <c r="N38" i="20"/>
  <c r="N85" i="20" s="1"/>
  <c r="N109" i="20" s="1"/>
  <c r="N119" i="20" s="1"/>
  <c r="M42" i="17"/>
  <c r="N56" i="18"/>
  <c r="N101" i="18" s="1"/>
  <c r="N124" i="18" s="1"/>
  <c r="O77" i="23"/>
  <c r="O84" i="23" s="1"/>
  <c r="N81" i="19"/>
  <c r="F25" i="32" l="1"/>
  <c r="AA31" i="3"/>
  <c r="AE119" i="17"/>
  <c r="AI111" i="18"/>
  <c r="AK111" i="18" s="1"/>
  <c r="F32" i="15"/>
  <c r="X32" i="15" s="1"/>
  <c r="V32" i="15"/>
  <c r="AI68" i="20"/>
  <c r="AK68" i="20" s="1"/>
  <c r="AJ72" i="24"/>
  <c r="AL72" i="24" s="1"/>
  <c r="V115" i="18"/>
  <c r="V36" i="20"/>
  <c r="AG29" i="24"/>
  <c r="AJ28" i="24"/>
  <c r="AJ29" i="24" s="1"/>
  <c r="AI28" i="23"/>
  <c r="AA32" i="3"/>
  <c r="AE120" i="17"/>
  <c r="AI112" i="18"/>
  <c r="AK112" i="18" s="1"/>
  <c r="AI22" i="20"/>
  <c r="AK22" i="20" s="1"/>
  <c r="AH22" i="19"/>
  <c r="AE34" i="16" s="1"/>
  <c r="AD30" i="15" s="1"/>
  <c r="AH30" i="15" s="1"/>
  <c r="AJ30" i="15" s="1"/>
  <c r="AE34" i="17"/>
  <c r="AH98" i="19"/>
  <c r="AI69" i="21"/>
  <c r="AK69" i="21" s="1"/>
  <c r="V99" i="20"/>
  <c r="W75" i="25"/>
  <c r="AE48" i="16"/>
  <c r="AD45" i="15" s="1"/>
  <c r="AH45" i="15" s="1"/>
  <c r="AJ45" i="15" s="1"/>
  <c r="AD24" i="22"/>
  <c r="AG24" i="22" s="1"/>
  <c r="AI24" i="22" s="1"/>
  <c r="AE48" i="17"/>
  <c r="AH48" i="17" s="1"/>
  <c r="AJ48" i="17" s="1"/>
  <c r="AG23" i="22"/>
  <c r="AI23" i="22" s="1"/>
  <c r="V46" i="18"/>
  <c r="AI42" i="18"/>
  <c r="AK42" i="18" s="1"/>
  <c r="F43" i="15"/>
  <c r="X43" i="15" s="1"/>
  <c r="AH43" i="15" s="1"/>
  <c r="AJ43" i="15" s="1"/>
  <c r="AC46" i="18"/>
  <c r="G22" i="9" s="1"/>
  <c r="I22" i="9" s="1"/>
  <c r="S30" i="17"/>
  <c r="T46" i="18"/>
  <c r="T115" i="18"/>
  <c r="T121" i="18" s="1"/>
  <c r="S31" i="26"/>
  <c r="S35" i="26" s="1"/>
  <c r="R39" i="27"/>
  <c r="R44" i="27" s="1"/>
  <c r="F37" i="5"/>
  <c r="S42" i="26"/>
  <c r="U77" i="24"/>
  <c r="U84" i="24" s="1"/>
  <c r="U42" i="25"/>
  <c r="U46" i="25" s="1"/>
  <c r="U59" i="25"/>
  <c r="U66" i="25" s="1"/>
  <c r="T54" i="18"/>
  <c r="T38" i="18"/>
  <c r="R39" i="29"/>
  <c r="R44" i="29" s="1"/>
  <c r="T81" i="20"/>
  <c r="T97" i="18"/>
  <c r="R25" i="37"/>
  <c r="R33" i="37"/>
  <c r="R45" i="37" s="1"/>
  <c r="T99" i="20"/>
  <c r="T106" i="20" s="1"/>
  <c r="T52" i="21"/>
  <c r="T56" i="21" s="1"/>
  <c r="T36" i="20"/>
  <c r="T29" i="20"/>
  <c r="T70" i="21"/>
  <c r="T79" i="21" s="1"/>
  <c r="R36" i="19"/>
  <c r="P33" i="37"/>
  <c r="P45" i="37" s="1"/>
  <c r="P25" i="37"/>
  <c r="R99" i="20"/>
  <c r="R106" i="20" s="1"/>
  <c r="Q123" i="17"/>
  <c r="P39" i="27"/>
  <c r="R88" i="21"/>
  <c r="S94" i="24"/>
  <c r="R54" i="18"/>
  <c r="R121" i="18"/>
  <c r="S77" i="24"/>
  <c r="S84" i="24" s="1"/>
  <c r="R38" i="18"/>
  <c r="P39" i="29"/>
  <c r="P44" i="29" s="1"/>
  <c r="P39" i="28"/>
  <c r="P44" i="28" s="1"/>
  <c r="S42" i="25"/>
  <c r="S46" i="25" s="1"/>
  <c r="S59" i="25"/>
  <c r="S66" i="25" s="1"/>
  <c r="P51" i="22"/>
  <c r="R52" i="21"/>
  <c r="R56" i="21" s="1"/>
  <c r="R29" i="20"/>
  <c r="S94" i="23"/>
  <c r="R81" i="20"/>
  <c r="AI26" i="28"/>
  <c r="Q42" i="26"/>
  <c r="Q47" i="26" s="1"/>
  <c r="AL69" i="23"/>
  <c r="AN69" i="23" s="1"/>
  <c r="AI115" i="20"/>
  <c r="R70" i="21"/>
  <c r="R79" i="21" s="1"/>
  <c r="Q50" i="16"/>
  <c r="AI28" i="28"/>
  <c r="R46" i="18"/>
  <c r="R97" i="18"/>
  <c r="R29" i="19"/>
  <c r="AG28" i="27"/>
  <c r="AG32" i="27" s="1"/>
  <c r="AI32" i="27" s="1"/>
  <c r="R36" i="20"/>
  <c r="Q50" i="17"/>
  <c r="O42" i="17"/>
  <c r="O50" i="17"/>
  <c r="Q87" i="23"/>
  <c r="Q98" i="23" s="1"/>
  <c r="O123" i="16"/>
  <c r="O132" i="16" s="1"/>
  <c r="O50" i="16"/>
  <c r="O58" i="17"/>
  <c r="O105" i="16"/>
  <c r="O141" i="17"/>
  <c r="O42" i="16"/>
  <c r="P38" i="19"/>
  <c r="P85" i="19" s="1"/>
  <c r="P111" i="19" s="1"/>
  <c r="P121" i="19" s="1"/>
  <c r="O58" i="16"/>
  <c r="P56" i="18"/>
  <c r="P101" i="18" s="1"/>
  <c r="P124" i="18" s="1"/>
  <c r="M60" i="16"/>
  <c r="M60" i="17"/>
  <c r="M109" i="17" s="1"/>
  <c r="M135" i="17" s="1"/>
  <c r="M145" i="17" s="1"/>
  <c r="M123" i="16"/>
  <c r="M132" i="16" s="1"/>
  <c r="O64" i="23"/>
  <c r="O87" i="23" s="1"/>
  <c r="M105" i="16"/>
  <c r="N85" i="19"/>
  <c r="N111" i="19" s="1"/>
  <c r="N121" i="19" s="1"/>
  <c r="H25" i="6"/>
  <c r="AL28" i="23" l="1"/>
  <c r="AN28" i="23" s="1"/>
  <c r="X88" i="21"/>
  <c r="X46" i="18"/>
  <c r="D17" i="3" s="1"/>
  <c r="V43" i="15"/>
  <c r="X54" i="18"/>
  <c r="W31" i="26"/>
  <c r="W35" i="26" s="1"/>
  <c r="X117" i="19"/>
  <c r="W30" i="17"/>
  <c r="X115" i="18"/>
  <c r="X121" i="18" s="1"/>
  <c r="V39" i="29"/>
  <c r="V44" i="29" s="1"/>
  <c r="X52" i="21"/>
  <c r="X38" i="18"/>
  <c r="V25" i="37"/>
  <c r="V33" i="37"/>
  <c r="V45" i="37" s="1"/>
  <c r="X97" i="18"/>
  <c r="V39" i="28"/>
  <c r="V44" i="28" s="1"/>
  <c r="U42" i="26"/>
  <c r="X81" i="20"/>
  <c r="V51" i="22"/>
  <c r="Y75" i="25"/>
  <c r="X70" i="21"/>
  <c r="X79" i="21" s="1"/>
  <c r="X99" i="20"/>
  <c r="X106" i="20" s="1"/>
  <c r="X36" i="20"/>
  <c r="X29" i="20"/>
  <c r="Y77" i="24"/>
  <c r="Y84" i="24" s="1"/>
  <c r="V106" i="20"/>
  <c r="U31" i="26"/>
  <c r="U35" i="26" s="1"/>
  <c r="U30" i="17"/>
  <c r="AK98" i="19"/>
  <c r="AM98" i="19" s="1"/>
  <c r="AD33" i="2"/>
  <c r="V70" i="21"/>
  <c r="V79" i="21" s="1"/>
  <c r="AL29" i="24"/>
  <c r="AH48" i="16"/>
  <c r="AJ48" i="16" s="1"/>
  <c r="T25" i="37"/>
  <c r="U58" i="17"/>
  <c r="F16" i="2"/>
  <c r="AE122" i="16"/>
  <c r="V36" i="19"/>
  <c r="AL28" i="24"/>
  <c r="W94" i="24"/>
  <c r="V52" i="21"/>
  <c r="V56" i="21" s="1"/>
  <c r="T39" i="29"/>
  <c r="T44" i="29" s="1"/>
  <c r="W77" i="24"/>
  <c r="W84" i="24" s="1"/>
  <c r="AI29" i="23"/>
  <c r="AL29" i="23" s="1"/>
  <c r="AN29" i="23" s="1"/>
  <c r="W60" i="24"/>
  <c r="W64" i="24" s="1"/>
  <c r="V54" i="18"/>
  <c r="W59" i="25"/>
  <c r="W66" i="25" s="1"/>
  <c r="AK22" i="19"/>
  <c r="AM22" i="19" s="1"/>
  <c r="V97" i="18"/>
  <c r="V38" i="18"/>
  <c r="V121" i="18"/>
  <c r="F47" i="15"/>
  <c r="T33" i="37"/>
  <c r="T45" i="37" s="1"/>
  <c r="V81" i="20"/>
  <c r="T51" i="22"/>
  <c r="T55" i="22" s="1"/>
  <c r="T66" i="22" s="1"/>
  <c r="T76" i="22" s="1"/>
  <c r="V88" i="21"/>
  <c r="W42" i="25"/>
  <c r="W46" i="25" s="1"/>
  <c r="V29" i="20"/>
  <c r="V38" i="20" s="1"/>
  <c r="W94" i="23"/>
  <c r="V29" i="19"/>
  <c r="V117" i="19"/>
  <c r="T117" i="19"/>
  <c r="S58" i="16"/>
  <c r="S123" i="17"/>
  <c r="S132" i="17" s="1"/>
  <c r="S58" i="17"/>
  <c r="S141" i="17"/>
  <c r="S47" i="26"/>
  <c r="T29" i="19"/>
  <c r="S42" i="16"/>
  <c r="T36" i="19"/>
  <c r="S50" i="17"/>
  <c r="S50" i="16"/>
  <c r="S42" i="17"/>
  <c r="U94" i="23"/>
  <c r="T81" i="19"/>
  <c r="U69" i="25"/>
  <c r="U79" i="25" s="1"/>
  <c r="R51" i="22"/>
  <c r="U77" i="23"/>
  <c r="U84" i="23" s="1"/>
  <c r="T56" i="18"/>
  <c r="T101" i="18" s="1"/>
  <c r="T124" i="18" s="1"/>
  <c r="R39" i="28"/>
  <c r="R44" i="28" s="1"/>
  <c r="T99" i="19"/>
  <c r="T108" i="19" s="1"/>
  <c r="T82" i="21"/>
  <c r="T92" i="21" s="1"/>
  <c r="T38" i="20"/>
  <c r="T85" i="20" s="1"/>
  <c r="T109" i="20" s="1"/>
  <c r="T119" i="20" s="1"/>
  <c r="Q58" i="16"/>
  <c r="Q58" i="17"/>
  <c r="R38" i="19"/>
  <c r="R99" i="19"/>
  <c r="R108" i="19" s="1"/>
  <c r="P55" i="22"/>
  <c r="P66" i="22" s="1"/>
  <c r="P76" i="22" s="1"/>
  <c r="R117" i="19"/>
  <c r="S77" i="23"/>
  <c r="S84" i="23" s="1"/>
  <c r="Q42" i="17"/>
  <c r="S69" i="25"/>
  <c r="S79" i="25" s="1"/>
  <c r="Q105" i="17"/>
  <c r="R82" i="21"/>
  <c r="R92" i="21" s="1"/>
  <c r="R81" i="19"/>
  <c r="R56" i="18"/>
  <c r="R101" i="18" s="1"/>
  <c r="R124" i="18" s="1"/>
  <c r="R38" i="20"/>
  <c r="R85" i="20" s="1"/>
  <c r="R109" i="20" s="1"/>
  <c r="R119" i="20" s="1"/>
  <c r="Q132" i="17"/>
  <c r="AI28" i="27"/>
  <c r="Q141" i="17"/>
  <c r="O60" i="17"/>
  <c r="O109" i="17" s="1"/>
  <c r="O135" i="17" s="1"/>
  <c r="O60" i="16"/>
  <c r="O109" i="16" s="1"/>
  <c r="O135" i="16" s="1"/>
  <c r="M109" i="16"/>
  <c r="M135" i="16" s="1"/>
  <c r="H23" i="6"/>
  <c r="H26" i="6" s="1"/>
  <c r="E114" i="17" l="1"/>
  <c r="AB31" i="26"/>
  <c r="AB35" i="26" s="1"/>
  <c r="D28" i="5"/>
  <c r="N28" i="5" s="1"/>
  <c r="N29" i="5" s="1"/>
  <c r="N32" i="5" s="1"/>
  <c r="AA94" i="24"/>
  <c r="AE37" i="17"/>
  <c r="AI25" i="20"/>
  <c r="AK25" i="20" s="1"/>
  <c r="AH25" i="19"/>
  <c r="AE37" i="16" s="1"/>
  <c r="AJ73" i="24"/>
  <c r="AL73" i="24" s="1"/>
  <c r="AG77" i="24"/>
  <c r="AG84" i="24" s="1"/>
  <c r="Z115" i="18"/>
  <c r="F25" i="2"/>
  <c r="AC115" i="18"/>
  <c r="H25" i="32"/>
  <c r="G24" i="14"/>
  <c r="AC13" i="18"/>
  <c r="AB21" i="15"/>
  <c r="Z88" i="21"/>
  <c r="AD75" i="25"/>
  <c r="S26" i="14"/>
  <c r="F34" i="15"/>
  <c r="AI34" i="18"/>
  <c r="AK34" i="18" s="1"/>
  <c r="Z36" i="20"/>
  <c r="AA77" i="24"/>
  <c r="AA84" i="24" s="1"/>
  <c r="W141" i="17"/>
  <c r="W58" i="17"/>
  <c r="W58" i="16"/>
  <c r="X56" i="18"/>
  <c r="X101" i="18" s="1"/>
  <c r="X124" i="18" s="1"/>
  <c r="W42" i="26"/>
  <c r="W47" i="26" s="1"/>
  <c r="W105" i="17"/>
  <c r="V55" i="22"/>
  <c r="V66" i="22" s="1"/>
  <c r="V76" i="22" s="1"/>
  <c r="W123" i="17"/>
  <c r="W132" i="17" s="1"/>
  <c r="X36" i="19"/>
  <c r="W50" i="17"/>
  <c r="W50" i="16"/>
  <c r="X29" i="19"/>
  <c r="W42" i="17"/>
  <c r="W42" i="16"/>
  <c r="X38" i="20"/>
  <c r="X85" i="20" s="1"/>
  <c r="X109" i="20" s="1"/>
  <c r="X119" i="20" s="1"/>
  <c r="X56" i="21"/>
  <c r="Y59" i="25"/>
  <c r="Y66" i="25" s="1"/>
  <c r="Y42" i="25"/>
  <c r="Y77" i="23"/>
  <c r="Y84" i="23" s="1"/>
  <c r="X99" i="19"/>
  <c r="X108" i="19" s="1"/>
  <c r="Y94" i="24"/>
  <c r="U47" i="26"/>
  <c r="U123" i="17"/>
  <c r="U132" i="17" s="1"/>
  <c r="V99" i="19"/>
  <c r="V108" i="19" s="1"/>
  <c r="U58" i="16"/>
  <c r="W87" i="24"/>
  <c r="W98" i="24" s="1"/>
  <c r="W77" i="23"/>
  <c r="W84" i="23" s="1"/>
  <c r="V82" i="21"/>
  <c r="V92" i="21" s="1"/>
  <c r="U141" i="17"/>
  <c r="W60" i="23"/>
  <c r="V85" i="20"/>
  <c r="V109" i="20" s="1"/>
  <c r="V119" i="20" s="1"/>
  <c r="U42" i="16"/>
  <c r="D47" i="15"/>
  <c r="U42" i="17"/>
  <c r="U50" i="17"/>
  <c r="U50" i="16"/>
  <c r="W69" i="25"/>
  <c r="W79" i="25" s="1"/>
  <c r="V81" i="19"/>
  <c r="V56" i="18"/>
  <c r="V101" i="18" s="1"/>
  <c r="V124" i="18" s="1"/>
  <c r="U105" i="17"/>
  <c r="T39" i="28"/>
  <c r="T44" i="28" s="1"/>
  <c r="V38" i="19"/>
  <c r="S60" i="17"/>
  <c r="S105" i="17"/>
  <c r="S123" i="16"/>
  <c r="S132" i="16" s="1"/>
  <c r="T38" i="19"/>
  <c r="T85" i="19" s="1"/>
  <c r="T111" i="19" s="1"/>
  <c r="T121" i="19" s="1"/>
  <c r="R55" i="22"/>
  <c r="R66" i="22" s="1"/>
  <c r="R76" i="22" s="1"/>
  <c r="Q123" i="16"/>
  <c r="Q132" i="16" s="1"/>
  <c r="R85" i="19"/>
  <c r="R111" i="19" s="1"/>
  <c r="R121" i="19" s="1"/>
  <c r="K15" i="30"/>
  <c r="D25" i="6"/>
  <c r="N25" i="6" s="1"/>
  <c r="W25" i="6" s="1"/>
  <c r="Y25" i="6" s="1"/>
  <c r="D24" i="6"/>
  <c r="N24" i="6" s="1"/>
  <c r="D23" i="6"/>
  <c r="D18" i="6"/>
  <c r="G26" i="13" l="1"/>
  <c r="U26" i="14"/>
  <c r="E98" i="17"/>
  <c r="E76" i="16"/>
  <c r="E130" i="17"/>
  <c r="E88" i="17"/>
  <c r="E86" i="17"/>
  <c r="E64" i="17"/>
  <c r="F42" i="19"/>
  <c r="E64" i="16" s="1"/>
  <c r="E52" i="17"/>
  <c r="AI60" i="21"/>
  <c r="AK60" i="21" s="1"/>
  <c r="AH89" i="19"/>
  <c r="AK89" i="19" s="1"/>
  <c r="AM89" i="19" s="1"/>
  <c r="E97" i="17"/>
  <c r="E83" i="16"/>
  <c r="E90" i="16"/>
  <c r="E103" i="17"/>
  <c r="E74" i="17"/>
  <c r="E89" i="17"/>
  <c r="E69" i="17"/>
  <c r="E72" i="16"/>
  <c r="F114" i="19"/>
  <c r="E78" i="17"/>
  <c r="E73" i="16"/>
  <c r="E55" i="17"/>
  <c r="G53" i="23"/>
  <c r="E70" i="17"/>
  <c r="G36" i="23"/>
  <c r="E65" i="16" s="1"/>
  <c r="E77" i="17"/>
  <c r="G24" i="13"/>
  <c r="K24" i="13" s="1"/>
  <c r="M24" i="13" s="1"/>
  <c r="I24" i="14"/>
  <c r="AH37" i="16"/>
  <c r="AJ37" i="16" s="1"/>
  <c r="AH37" i="17"/>
  <c r="AJ37" i="17" s="1"/>
  <c r="E90" i="17"/>
  <c r="E73" i="17"/>
  <c r="E52" i="16"/>
  <c r="E55" i="16"/>
  <c r="F115" i="18"/>
  <c r="D26" i="3"/>
  <c r="D54" i="19"/>
  <c r="C31" i="26"/>
  <c r="C35" i="26" s="1"/>
  <c r="D58" i="19"/>
  <c r="C82" i="16" s="1"/>
  <c r="D77" i="19"/>
  <c r="C101" i="16" s="1"/>
  <c r="E77" i="24"/>
  <c r="E84" i="24" s="1"/>
  <c r="D46" i="19"/>
  <c r="C69" i="16" s="1"/>
  <c r="C96" i="17"/>
  <c r="E96" i="17"/>
  <c r="E50" i="23"/>
  <c r="G50" i="23"/>
  <c r="D45" i="19"/>
  <c r="E56" i="23"/>
  <c r="G56" i="23"/>
  <c r="E57" i="23"/>
  <c r="G57" i="23"/>
  <c r="E70" i="23"/>
  <c r="C115" i="16" s="1"/>
  <c r="D68" i="19"/>
  <c r="E73" i="23"/>
  <c r="G73" i="23"/>
  <c r="D76" i="19"/>
  <c r="C95" i="17"/>
  <c r="E55" i="23"/>
  <c r="G55" i="23"/>
  <c r="E38" i="23"/>
  <c r="C67" i="16" s="1"/>
  <c r="E43" i="23"/>
  <c r="G43" i="23"/>
  <c r="C101" i="17"/>
  <c r="D26" i="19"/>
  <c r="C38" i="16" s="1"/>
  <c r="F26" i="19"/>
  <c r="E46" i="23"/>
  <c r="C100" i="17"/>
  <c r="C127" i="16"/>
  <c r="E127" i="17"/>
  <c r="E40" i="23"/>
  <c r="G40" i="23"/>
  <c r="E74" i="23"/>
  <c r="C120" i="16" s="1"/>
  <c r="G74" i="23"/>
  <c r="C99" i="17"/>
  <c r="E90" i="23"/>
  <c r="E94" i="23" s="1"/>
  <c r="E54" i="23"/>
  <c r="C96" i="16" s="1"/>
  <c r="G54" i="23"/>
  <c r="D79" i="19"/>
  <c r="C103" i="16" s="1"/>
  <c r="D80" i="19"/>
  <c r="E104" i="16"/>
  <c r="C94" i="17"/>
  <c r="E94" i="17"/>
  <c r="C121" i="17"/>
  <c r="D27" i="19"/>
  <c r="F27" i="19"/>
  <c r="C102" i="17"/>
  <c r="E102" i="17"/>
  <c r="D21" i="19"/>
  <c r="C92" i="17"/>
  <c r="C47" i="17"/>
  <c r="C50" i="17" s="1"/>
  <c r="E47" i="17"/>
  <c r="E50" i="17" s="1"/>
  <c r="E72" i="23"/>
  <c r="G72" i="23"/>
  <c r="D90" i="19"/>
  <c r="C114" i="16" s="1"/>
  <c r="E42" i="23"/>
  <c r="G42" i="23"/>
  <c r="D28" i="19"/>
  <c r="F28" i="19"/>
  <c r="E48" i="23"/>
  <c r="G48" i="23"/>
  <c r="E58" i="23"/>
  <c r="C102" i="16" s="1"/>
  <c r="G58" i="23"/>
  <c r="D67" i="19"/>
  <c r="D105" i="19"/>
  <c r="F105" i="19"/>
  <c r="G44" i="23"/>
  <c r="E79" i="16" s="1"/>
  <c r="C86" i="17"/>
  <c r="E41" i="23"/>
  <c r="E36" i="23"/>
  <c r="C65" i="16" s="1"/>
  <c r="E68" i="23"/>
  <c r="E49" i="23"/>
  <c r="E53" i="23"/>
  <c r="C70" i="17"/>
  <c r="D106" i="19"/>
  <c r="C52" i="16"/>
  <c r="C52" i="17"/>
  <c r="D88" i="21"/>
  <c r="D114" i="19"/>
  <c r="C55" i="17"/>
  <c r="C55" i="16"/>
  <c r="C73" i="17"/>
  <c r="D49" i="19"/>
  <c r="C73" i="16" s="1"/>
  <c r="C72" i="16"/>
  <c r="C72" i="17"/>
  <c r="D51" i="19"/>
  <c r="C114" i="17"/>
  <c r="C90" i="17"/>
  <c r="D66" i="19"/>
  <c r="D74" i="19"/>
  <c r="C98" i="16" s="1"/>
  <c r="D64" i="19"/>
  <c r="D81" i="20"/>
  <c r="D54" i="18"/>
  <c r="C33" i="17"/>
  <c r="C77" i="17"/>
  <c r="D73" i="19"/>
  <c r="D50" i="19"/>
  <c r="E51" i="23"/>
  <c r="D70" i="19"/>
  <c r="D42" i="19"/>
  <c r="C64" i="16" s="1"/>
  <c r="D34" i="19"/>
  <c r="D36" i="19" s="1"/>
  <c r="D62" i="19"/>
  <c r="E44" i="23"/>
  <c r="C79" i="16" s="1"/>
  <c r="D52" i="19"/>
  <c r="C76" i="16" s="1"/>
  <c r="D17" i="19"/>
  <c r="D97" i="19"/>
  <c r="C121" i="16" s="1"/>
  <c r="C27" i="17"/>
  <c r="C30" i="17" s="1"/>
  <c r="C127" i="17"/>
  <c r="C83" i="17"/>
  <c r="E59" i="25"/>
  <c r="E66" i="25" s="1"/>
  <c r="C130" i="17"/>
  <c r="D59" i="19"/>
  <c r="C83" i="16" s="1"/>
  <c r="C74" i="17"/>
  <c r="D65" i="19"/>
  <c r="C89" i="16" s="1"/>
  <c r="E60" i="24"/>
  <c r="E64" i="24" s="1"/>
  <c r="B51" i="22"/>
  <c r="B55" i="22" s="1"/>
  <c r="B66" i="22" s="1"/>
  <c r="B76" i="22" s="1"/>
  <c r="D70" i="21"/>
  <c r="D79" i="21" s="1"/>
  <c r="D52" i="21"/>
  <c r="D56" i="21" s="1"/>
  <c r="D99" i="20"/>
  <c r="D106" i="20" s="1"/>
  <c r="D36" i="20"/>
  <c r="D115" i="18"/>
  <c r="D121" i="18" s="1"/>
  <c r="D97" i="18"/>
  <c r="B25" i="37"/>
  <c r="B33" i="37"/>
  <c r="B45" i="37" s="1"/>
  <c r="C98" i="17"/>
  <c r="C38" i="17"/>
  <c r="D38" i="18"/>
  <c r="B39" i="28"/>
  <c r="B44" i="28" s="1"/>
  <c r="C97" i="17"/>
  <c r="C78" i="17"/>
  <c r="E94" i="24"/>
  <c r="C75" i="17"/>
  <c r="D71" i="19"/>
  <c r="C95" i="16" s="1"/>
  <c r="C89" i="17"/>
  <c r="D29" i="20"/>
  <c r="C42" i="26"/>
  <c r="D53" i="19"/>
  <c r="C76" i="17"/>
  <c r="B39" i="29"/>
  <c r="B44" i="29" s="1"/>
  <c r="C64" i="17"/>
  <c r="C69" i="17"/>
  <c r="C82" i="17"/>
  <c r="D47" i="19"/>
  <c r="C70" i="16" s="1"/>
  <c r="E42" i="25"/>
  <c r="E46" i="25" s="1"/>
  <c r="C88" i="17"/>
  <c r="C39" i="17"/>
  <c r="C103" i="17"/>
  <c r="G34" i="9"/>
  <c r="I34" i="9" s="1"/>
  <c r="Z99" i="20"/>
  <c r="Z106" i="20" s="1"/>
  <c r="Y58" i="16"/>
  <c r="D29" i="5"/>
  <c r="D32" i="5" s="1"/>
  <c r="Y123" i="17"/>
  <c r="V19" i="2"/>
  <c r="AF62" i="23"/>
  <c r="R19" i="2" s="1"/>
  <c r="AK25" i="19"/>
  <c r="AM25" i="19" s="1"/>
  <c r="X25" i="37"/>
  <c r="Y50" i="16"/>
  <c r="X39" i="29"/>
  <c r="X44" i="29" s="1"/>
  <c r="K24" i="14"/>
  <c r="Z121" i="18"/>
  <c r="Z54" i="18"/>
  <c r="AA94" i="23"/>
  <c r="AA77" i="23"/>
  <c r="AA84" i="23" s="1"/>
  <c r="AF91" i="23"/>
  <c r="AD33" i="15"/>
  <c r="AA75" i="25"/>
  <c r="K35" i="11"/>
  <c r="Y42" i="26"/>
  <c r="Y31" i="26"/>
  <c r="Y35" i="26" s="1"/>
  <c r="AA59" i="25"/>
  <c r="AA66" i="25" s="1"/>
  <c r="AA60" i="24"/>
  <c r="AA64" i="24" s="1"/>
  <c r="AA87" i="24" s="1"/>
  <c r="AA98" i="24" s="1"/>
  <c r="X51" i="22"/>
  <c r="X55" i="22" s="1"/>
  <c r="X66" i="22" s="1"/>
  <c r="X76" i="22" s="1"/>
  <c r="Z29" i="19"/>
  <c r="Z97" i="18"/>
  <c r="W26" i="14"/>
  <c r="X33" i="37"/>
  <c r="X45" i="37" s="1"/>
  <c r="X39" i="28"/>
  <c r="X44" i="28" s="1"/>
  <c r="Z52" i="21"/>
  <c r="Z56" i="21" s="1"/>
  <c r="Z81" i="20"/>
  <c r="Z29" i="20"/>
  <c r="Z70" i="21"/>
  <c r="Z79" i="21" s="1"/>
  <c r="J39" i="28"/>
  <c r="J44" i="28" s="1"/>
  <c r="Z38" i="18"/>
  <c r="AA42" i="25"/>
  <c r="AA46" i="25" s="1"/>
  <c r="K33" i="14"/>
  <c r="W60" i="17"/>
  <c r="W109" i="17" s="1"/>
  <c r="W135" i="17" s="1"/>
  <c r="W145" i="17" s="1"/>
  <c r="X82" i="21"/>
  <c r="X92" i="21" s="1"/>
  <c r="W123" i="16"/>
  <c r="W132" i="16" s="1"/>
  <c r="X38" i="19"/>
  <c r="W60" i="16"/>
  <c r="Y94" i="23"/>
  <c r="Y46" i="25"/>
  <c r="Y69" i="25" s="1"/>
  <c r="Y79" i="25" s="1"/>
  <c r="X81" i="19"/>
  <c r="U60" i="16"/>
  <c r="W64" i="23"/>
  <c r="W87" i="23" s="1"/>
  <c r="W98" i="23" s="1"/>
  <c r="U123" i="16"/>
  <c r="U132" i="16" s="1"/>
  <c r="U60" i="17"/>
  <c r="U109" i="17" s="1"/>
  <c r="U135" i="17" s="1"/>
  <c r="U145" i="17" s="1"/>
  <c r="U105" i="16"/>
  <c r="V85" i="19"/>
  <c r="V111" i="19" s="1"/>
  <c r="V121" i="19" s="1"/>
  <c r="S109" i="17"/>
  <c r="S135" i="17" s="1"/>
  <c r="S145" i="17" s="1"/>
  <c r="D19" i="6"/>
  <c r="D26" i="6"/>
  <c r="AL52" i="25" l="1"/>
  <c r="AK32" i="18"/>
  <c r="AK45" i="18"/>
  <c r="I28" i="31"/>
  <c r="K18" i="31"/>
  <c r="AF54" i="18"/>
  <c r="AA18" i="3" s="1"/>
  <c r="AE52" i="17"/>
  <c r="AE52" i="16"/>
  <c r="AD50" i="15" s="1"/>
  <c r="AK48" i="18"/>
  <c r="AL36" i="25"/>
  <c r="AK29" i="21"/>
  <c r="AE78" i="17"/>
  <c r="AD25" i="2"/>
  <c r="AE114" i="17"/>
  <c r="AE114" i="16"/>
  <c r="AA26" i="3"/>
  <c r="AI106" i="18"/>
  <c r="AK106" i="18" s="1"/>
  <c r="K137" i="30"/>
  <c r="AK28" i="21"/>
  <c r="AG37" i="29"/>
  <c r="AI37" i="29" s="1"/>
  <c r="H33" i="6"/>
  <c r="AG43" i="22"/>
  <c r="AI43" i="22" s="1"/>
  <c r="AE86" i="17"/>
  <c r="AI39" i="21"/>
  <c r="AK39" i="21" s="1"/>
  <c r="H39" i="21"/>
  <c r="H68" i="19" s="1"/>
  <c r="AH102" i="19"/>
  <c r="AK102" i="19" s="1"/>
  <c r="AM102" i="19" s="1"/>
  <c r="AI73" i="21"/>
  <c r="AK73" i="21" s="1"/>
  <c r="AI34" i="20"/>
  <c r="AC36" i="20"/>
  <c r="J17" i="3" s="1"/>
  <c r="H34" i="20"/>
  <c r="H34" i="19" s="1"/>
  <c r="H44" i="15" s="1"/>
  <c r="N57" i="2"/>
  <c r="AA13" i="22"/>
  <c r="AG75" i="25"/>
  <c r="AJ75" i="25" s="1"/>
  <c r="AL75" i="25" s="1"/>
  <c r="AJ72" i="25"/>
  <c r="AL72" i="25" s="1"/>
  <c r="AI91" i="23"/>
  <c r="AL91" i="23" s="1"/>
  <c r="AN91" i="23" s="1"/>
  <c r="AL24" i="25"/>
  <c r="AJ36" i="25"/>
  <c r="I36" i="25"/>
  <c r="AH67" i="19"/>
  <c r="F22" i="37"/>
  <c r="H81" i="18"/>
  <c r="AI81" i="18"/>
  <c r="AK81" i="18" s="1"/>
  <c r="AH50" i="19"/>
  <c r="AI50" i="20"/>
  <c r="AK50" i="20" s="1"/>
  <c r="AE74" i="17"/>
  <c r="C23" i="30"/>
  <c r="K49" i="30"/>
  <c r="AL50" i="25"/>
  <c r="AG59" i="25"/>
  <c r="AG66" i="25" s="1"/>
  <c r="AI68" i="23"/>
  <c r="AD24" i="2" s="1"/>
  <c r="F37" i="22"/>
  <c r="G74" i="17" s="1"/>
  <c r="AG37" i="22"/>
  <c r="AI37" i="22" s="1"/>
  <c r="AE97" i="17"/>
  <c r="AK73" i="20"/>
  <c r="AH73" i="19"/>
  <c r="AM73" i="19" s="1"/>
  <c r="M49" i="34"/>
  <c r="E67" i="34"/>
  <c r="I38" i="25"/>
  <c r="I55" i="23" s="1"/>
  <c r="AF55" i="23" s="1"/>
  <c r="AJ38" i="25"/>
  <c r="AL38" i="25" s="1"/>
  <c r="AJ37" i="25"/>
  <c r="I37" i="25"/>
  <c r="I54" i="23" s="1"/>
  <c r="AF54" i="23" s="1"/>
  <c r="I46" i="24"/>
  <c r="I46" i="23" s="1"/>
  <c r="AJ46" i="24"/>
  <c r="AL46" i="24" s="1"/>
  <c r="AI47" i="21"/>
  <c r="AK47" i="21" s="1"/>
  <c r="H47" i="21"/>
  <c r="H76" i="19" s="1"/>
  <c r="AE76" i="19" s="1"/>
  <c r="AL55" i="25"/>
  <c r="AI73" i="23"/>
  <c r="AD30" i="2" s="1"/>
  <c r="AE38" i="17"/>
  <c r="AH26" i="19"/>
  <c r="AE38" i="16" s="1"/>
  <c r="AD34" i="15" s="1"/>
  <c r="AK26" i="20"/>
  <c r="G91" i="30"/>
  <c r="G103" i="30" s="1"/>
  <c r="H33" i="21"/>
  <c r="AI33" i="21"/>
  <c r="AK33" i="21" s="1"/>
  <c r="AA39" i="29"/>
  <c r="F36" i="29"/>
  <c r="F32" i="6" s="1"/>
  <c r="AG36" i="29"/>
  <c r="H32" i="6"/>
  <c r="J17" i="33"/>
  <c r="D20" i="33"/>
  <c r="AI52" i="18"/>
  <c r="AK52" i="18" s="1"/>
  <c r="AE56" i="17"/>
  <c r="AE56" i="16"/>
  <c r="AD54" i="15" s="1"/>
  <c r="AH54" i="15" s="1"/>
  <c r="AJ54" i="15" s="1"/>
  <c r="AH51" i="19"/>
  <c r="I52" i="25"/>
  <c r="I70" i="23" s="1"/>
  <c r="P26" i="2" s="1"/>
  <c r="AJ52" i="25"/>
  <c r="AH79" i="19"/>
  <c r="AA14" i="29"/>
  <c r="AK30" i="21"/>
  <c r="AJ56" i="24"/>
  <c r="I56" i="24"/>
  <c r="I56" i="23" s="1"/>
  <c r="AF56" i="23" s="1"/>
  <c r="F23" i="37"/>
  <c r="AE102" i="17"/>
  <c r="AI69" i="18"/>
  <c r="H69" i="18"/>
  <c r="AE72" i="16"/>
  <c r="AE72" i="17"/>
  <c r="I32" i="25"/>
  <c r="AJ32" i="25"/>
  <c r="G40" i="26"/>
  <c r="B36" i="5" s="1"/>
  <c r="L36" i="5" s="1"/>
  <c r="AH40" i="26"/>
  <c r="AJ40" i="26" s="1"/>
  <c r="D36" i="5"/>
  <c r="N36" i="5" s="1"/>
  <c r="H36" i="21"/>
  <c r="AI36" i="21"/>
  <c r="AK36" i="21" s="1"/>
  <c r="K89" i="30"/>
  <c r="AA42" i="3"/>
  <c r="AH106" i="19"/>
  <c r="AE130" i="16" s="1"/>
  <c r="AK104" i="20"/>
  <c r="I25" i="25"/>
  <c r="I42" i="23" s="1"/>
  <c r="AF42" i="23" s="1"/>
  <c r="AJ25" i="25"/>
  <c r="I90" i="24"/>
  <c r="AJ90" i="24"/>
  <c r="AL90" i="24" s="1"/>
  <c r="AD94" i="24"/>
  <c r="G25" i="14"/>
  <c r="AI92" i="18"/>
  <c r="AK92" i="18" s="1"/>
  <c r="H92" i="18"/>
  <c r="G99" i="17" s="1"/>
  <c r="AI26" i="20"/>
  <c r="H26" i="20"/>
  <c r="H26" i="19" s="1"/>
  <c r="AE113" i="17"/>
  <c r="AI105" i="18"/>
  <c r="AK105" i="18" s="1"/>
  <c r="AA25" i="3"/>
  <c r="AF115" i="18"/>
  <c r="AF121" i="18" s="1"/>
  <c r="AE92" i="17"/>
  <c r="AI85" i="18"/>
  <c r="AK85" i="18" s="1"/>
  <c r="AJ23" i="24"/>
  <c r="AJ26" i="24" s="1"/>
  <c r="AJ31" i="24" s="1"/>
  <c r="AL23" i="24"/>
  <c r="AG26" i="24"/>
  <c r="AG31" i="24" s="1"/>
  <c r="AI23" i="23"/>
  <c r="AK26" i="21"/>
  <c r="I26" i="25"/>
  <c r="I43" i="23" s="1"/>
  <c r="AF43" i="23" s="1"/>
  <c r="AJ26" i="25"/>
  <c r="AI45" i="21"/>
  <c r="AK45" i="21" s="1"/>
  <c r="H45" i="21"/>
  <c r="AK30" i="18"/>
  <c r="AE33" i="17"/>
  <c r="AF38" i="18"/>
  <c r="AI50" i="23"/>
  <c r="AJ50" i="24"/>
  <c r="AL50" i="24" s="1"/>
  <c r="AI90" i="23"/>
  <c r="AG94" i="24"/>
  <c r="G39" i="26"/>
  <c r="B35" i="5" s="1"/>
  <c r="D35" i="5"/>
  <c r="N35" i="5" s="1"/>
  <c r="AH39" i="26"/>
  <c r="AB42" i="26"/>
  <c r="AB47" i="26" s="1"/>
  <c r="AE55" i="17"/>
  <c r="AE55" i="16"/>
  <c r="AD53" i="15" s="1"/>
  <c r="C155" i="30"/>
  <c r="AH54" i="19"/>
  <c r="AI54" i="20"/>
  <c r="AK54" i="20" s="1"/>
  <c r="AJ43" i="24"/>
  <c r="AL43" i="24" s="1"/>
  <c r="AI43" i="23"/>
  <c r="AA14" i="28"/>
  <c r="AD39" i="28"/>
  <c r="T32" i="6"/>
  <c r="G28" i="31"/>
  <c r="AF92" i="23"/>
  <c r="I32" i="13"/>
  <c r="I33" i="13" s="1"/>
  <c r="AC94" i="23"/>
  <c r="AC98" i="23" s="1"/>
  <c r="AC100" i="23" s="1"/>
  <c r="AI40" i="22"/>
  <c r="I91" i="30"/>
  <c r="AI132" i="18"/>
  <c r="AK132" i="18" s="1"/>
  <c r="G42" i="31"/>
  <c r="K38" i="30"/>
  <c r="AI42" i="21"/>
  <c r="AK42" i="21" s="1"/>
  <c r="H42" i="21"/>
  <c r="AH114" i="19"/>
  <c r="AH117" i="19" s="1"/>
  <c r="AF88" i="21"/>
  <c r="AI24" i="18"/>
  <c r="AK24" i="18" s="1"/>
  <c r="AE27" i="17"/>
  <c r="I49" i="24"/>
  <c r="AJ49" i="24"/>
  <c r="AL49" i="24" s="1"/>
  <c r="AE47" i="17"/>
  <c r="AF36" i="20"/>
  <c r="AH34" i="19"/>
  <c r="J33" i="3"/>
  <c r="J35" i="3" s="1"/>
  <c r="AI97" i="20"/>
  <c r="AK97" i="20" s="1"/>
  <c r="AC99" i="20"/>
  <c r="H97" i="20"/>
  <c r="AL37" i="25"/>
  <c r="AI84" i="18"/>
  <c r="AK84" i="18" s="1"/>
  <c r="AE91" i="17"/>
  <c r="K136" i="30"/>
  <c r="AK65" i="18"/>
  <c r="AE69" i="17"/>
  <c r="AH21" i="19"/>
  <c r="AE33" i="16" s="1"/>
  <c r="AD29" i="15" s="1"/>
  <c r="AF29" i="20"/>
  <c r="M56" i="34"/>
  <c r="AE101" i="17"/>
  <c r="AH52" i="19"/>
  <c r="AE76" i="16" s="1"/>
  <c r="AH105" i="19"/>
  <c r="AE129" i="16" s="1"/>
  <c r="F29" i="15"/>
  <c r="AI30" i="18"/>
  <c r="H30" i="18"/>
  <c r="AC38" i="18"/>
  <c r="F15" i="2" s="1"/>
  <c r="H19" i="21"/>
  <c r="AI19" i="21"/>
  <c r="AC52" i="21"/>
  <c r="I44" i="24"/>
  <c r="AJ44" i="24"/>
  <c r="AL44" i="24" s="1"/>
  <c r="AK27" i="21"/>
  <c r="AL26" i="25"/>
  <c r="E23" i="30"/>
  <c r="H49" i="20"/>
  <c r="AI49" i="20"/>
  <c r="AI56" i="23"/>
  <c r="AN56" i="23" s="1"/>
  <c r="AL56" i="24"/>
  <c r="AI74" i="20"/>
  <c r="AK74" i="20" s="1"/>
  <c r="H74" i="20"/>
  <c r="F38" i="22"/>
  <c r="AG38" i="22"/>
  <c r="AI38" i="22" s="1"/>
  <c r="AE73" i="17"/>
  <c r="AH49" i="19"/>
  <c r="AE73" i="16" s="1"/>
  <c r="AE100" i="17"/>
  <c r="AH71" i="19"/>
  <c r="AE95" i="16" s="1"/>
  <c r="AI64" i="20"/>
  <c r="H64" i="20"/>
  <c r="F41" i="22"/>
  <c r="AG41" i="22"/>
  <c r="AI41" i="22" s="1"/>
  <c r="H134" i="18"/>
  <c r="AE39" i="17"/>
  <c r="I21" i="25"/>
  <c r="I38" i="23" s="1"/>
  <c r="G67" i="16" s="1"/>
  <c r="AJ21" i="25"/>
  <c r="H51" i="18"/>
  <c r="AI51" i="18"/>
  <c r="AK51" i="18" s="1"/>
  <c r="F53" i="15"/>
  <c r="X53" i="15" s="1"/>
  <c r="AI44" i="21"/>
  <c r="AK44" i="21" s="1"/>
  <c r="H44" i="21"/>
  <c r="F29" i="37"/>
  <c r="AI91" i="18"/>
  <c r="AK91" i="18" s="1"/>
  <c r="AE98" i="17"/>
  <c r="AH47" i="19"/>
  <c r="AE70" i="16" s="1"/>
  <c r="T36" i="5"/>
  <c r="I39" i="25"/>
  <c r="I57" i="23" s="1"/>
  <c r="AF57" i="23" s="1"/>
  <c r="AJ39" i="25"/>
  <c r="E91" i="30"/>
  <c r="E103" i="30" s="1"/>
  <c r="AI29" i="21"/>
  <c r="H29" i="21"/>
  <c r="AL29" i="25"/>
  <c r="AJ29" i="25"/>
  <c r="K142" i="30"/>
  <c r="AI28" i="20"/>
  <c r="AK28" i="20" s="1"/>
  <c r="H28" i="20"/>
  <c r="H28" i="19" s="1"/>
  <c r="AI23" i="21"/>
  <c r="H23" i="21"/>
  <c r="H46" i="19" s="1"/>
  <c r="AE46" i="19" s="1"/>
  <c r="AH76" i="19"/>
  <c r="AI71" i="18"/>
  <c r="AK71" i="18" s="1"/>
  <c r="AE75" i="17"/>
  <c r="M63" i="34"/>
  <c r="H70" i="20"/>
  <c r="AI70" i="20"/>
  <c r="AK70" i="20" s="1"/>
  <c r="M37" i="34"/>
  <c r="H37" i="21"/>
  <c r="G84" i="16" s="1"/>
  <c r="AB84" i="16" s="1"/>
  <c r="AI37" i="21"/>
  <c r="AK37" i="21" s="1"/>
  <c r="AI58" i="23"/>
  <c r="AE102" i="16" s="1"/>
  <c r="I31" i="25"/>
  <c r="I48" i="23" s="1"/>
  <c r="AF48" i="23" s="1"/>
  <c r="AJ31" i="25"/>
  <c r="C28" i="31"/>
  <c r="AE96" i="17"/>
  <c r="J25" i="32"/>
  <c r="AI24" i="21"/>
  <c r="H24" i="21"/>
  <c r="F20" i="37"/>
  <c r="AI62" i="23"/>
  <c r="AD19" i="2" s="1"/>
  <c r="AJ62" i="24"/>
  <c r="AL62" i="24" s="1"/>
  <c r="AG50" i="22"/>
  <c r="AI50" i="22" s="1"/>
  <c r="F50" i="22"/>
  <c r="AI48" i="23"/>
  <c r="AL31" i="25"/>
  <c r="AE99" i="17"/>
  <c r="AC70" i="21"/>
  <c r="H61" i="21"/>
  <c r="AI61" i="21"/>
  <c r="AK61" i="21" s="1"/>
  <c r="AI72" i="18"/>
  <c r="AK72" i="18" s="1"/>
  <c r="AE76" i="17"/>
  <c r="AD40" i="2"/>
  <c r="AG61" i="22"/>
  <c r="AG63" i="22" s="1"/>
  <c r="AE129" i="17"/>
  <c r="AA41" i="3"/>
  <c r="AD63" i="22"/>
  <c r="AF23" i="18"/>
  <c r="AE21" i="17"/>
  <c r="AE21" i="16"/>
  <c r="AD16" i="15" s="1"/>
  <c r="AH27" i="19"/>
  <c r="F35" i="15"/>
  <c r="H35" i="18"/>
  <c r="AI35" i="18"/>
  <c r="AK35" i="18" s="1"/>
  <c r="I54" i="25"/>
  <c r="I72" i="23" s="1"/>
  <c r="G118" i="16" s="1"/>
  <c r="AJ54" i="25"/>
  <c r="AL54" i="25" s="1"/>
  <c r="I50" i="25"/>
  <c r="AJ50" i="25"/>
  <c r="AD59" i="25"/>
  <c r="M57" i="34"/>
  <c r="AH17" i="19"/>
  <c r="AE27" i="16" s="1"/>
  <c r="H129" i="18"/>
  <c r="AI58" i="20"/>
  <c r="AK58" i="20" s="1"/>
  <c r="H58" i="20"/>
  <c r="F30" i="37"/>
  <c r="J18" i="32"/>
  <c r="L16" i="32"/>
  <c r="AJ53" i="24"/>
  <c r="AL53" i="24" s="1"/>
  <c r="I53" i="24"/>
  <c r="F32" i="37"/>
  <c r="AG37" i="27"/>
  <c r="AI37" i="27" s="1"/>
  <c r="AD39" i="27"/>
  <c r="AD44" i="27" s="1"/>
  <c r="H82" i="18"/>
  <c r="AI82" i="18"/>
  <c r="I24" i="25"/>
  <c r="AJ24" i="25"/>
  <c r="AI62" i="20"/>
  <c r="AK62" i="20" s="1"/>
  <c r="H62" i="20"/>
  <c r="AJ55" i="24"/>
  <c r="AL55" i="24" s="1"/>
  <c r="AI55" i="23"/>
  <c r="AG17" i="22"/>
  <c r="AD30" i="22"/>
  <c r="AE28" i="16"/>
  <c r="AD23" i="15" s="1"/>
  <c r="AE28" i="17"/>
  <c r="AH65" i="19"/>
  <c r="AE89" i="16" s="1"/>
  <c r="AJ28" i="25"/>
  <c r="AL28" i="25" s="1"/>
  <c r="F37" i="28"/>
  <c r="B33" i="6" s="1"/>
  <c r="AG37" i="28"/>
  <c r="AI37" i="28" s="1"/>
  <c r="D33" i="6"/>
  <c r="H79" i="18"/>
  <c r="AI79" i="18"/>
  <c r="AK79" i="18" s="1"/>
  <c r="H35" i="21"/>
  <c r="AI35" i="21"/>
  <c r="AK35" i="21" s="1"/>
  <c r="I112" i="30"/>
  <c r="AA20" i="3"/>
  <c r="AE107" i="17"/>
  <c r="AI99" i="18"/>
  <c r="AK99" i="18" s="1"/>
  <c r="F45" i="22"/>
  <c r="AG45" i="22"/>
  <c r="AI45" i="22" s="1"/>
  <c r="AI27" i="21"/>
  <c r="H27" i="21"/>
  <c r="AI63" i="18"/>
  <c r="AK63" i="18" s="1"/>
  <c r="AF97" i="18"/>
  <c r="AE67" i="17"/>
  <c r="AD39" i="29"/>
  <c r="AD44" i="29" s="1"/>
  <c r="AK24" i="21"/>
  <c r="AI17" i="20"/>
  <c r="AK17" i="20" s="1"/>
  <c r="J15" i="3"/>
  <c r="G20" i="11"/>
  <c r="H17" i="20"/>
  <c r="AI22" i="21"/>
  <c r="H22" i="21"/>
  <c r="H45" i="19" s="1"/>
  <c r="G68" i="16" s="1"/>
  <c r="AH74" i="19"/>
  <c r="AE98" i="16" s="1"/>
  <c r="C91" i="30"/>
  <c r="C103" i="30" s="1"/>
  <c r="M59" i="34"/>
  <c r="I23" i="30"/>
  <c r="S67" i="34"/>
  <c r="AI70" i="23"/>
  <c r="AC13" i="20"/>
  <c r="AI13" i="20" s="1"/>
  <c r="AK13" i="20" s="1"/>
  <c r="J57" i="3"/>
  <c r="I55" i="25"/>
  <c r="I73" i="23" s="1"/>
  <c r="AJ55" i="25"/>
  <c r="H50" i="21"/>
  <c r="H79" i="19" s="1"/>
  <c r="AI50" i="21"/>
  <c r="AK50" i="21" s="1"/>
  <c r="AI77" i="18"/>
  <c r="AK77" i="18" s="1"/>
  <c r="H77" i="18"/>
  <c r="AI57" i="23"/>
  <c r="AJ57" i="24"/>
  <c r="AL57" i="24" s="1"/>
  <c r="AI71" i="20"/>
  <c r="AK71" i="20" s="1"/>
  <c r="H71" i="20"/>
  <c r="C42" i="31"/>
  <c r="H93" i="18"/>
  <c r="AI93" i="18"/>
  <c r="AK93" i="18" s="1"/>
  <c r="D45" i="32"/>
  <c r="AH13" i="19"/>
  <c r="G112" i="30"/>
  <c r="AH64" i="19"/>
  <c r="AK64" i="20"/>
  <c r="AE88" i="17"/>
  <c r="AL27" i="25"/>
  <c r="AI44" i="23"/>
  <c r="AE79" i="16" s="1"/>
  <c r="F46" i="22"/>
  <c r="G92" i="17" s="1"/>
  <c r="AG46" i="22"/>
  <c r="AI46" i="22" s="1"/>
  <c r="H66" i="20"/>
  <c r="AI66" i="20"/>
  <c r="AK66" i="20" s="1"/>
  <c r="K58" i="30"/>
  <c r="AD42" i="25"/>
  <c r="AD46" i="25" s="1"/>
  <c r="I19" i="25"/>
  <c r="AJ19" i="25"/>
  <c r="AH66" i="19"/>
  <c r="AE90" i="16" s="1"/>
  <c r="AE103" i="17"/>
  <c r="AI13" i="23"/>
  <c r="AI128" i="18"/>
  <c r="AK128" i="18" s="1"/>
  <c r="I40" i="25"/>
  <c r="I58" i="23" s="1"/>
  <c r="AJ40" i="25"/>
  <c r="AL40" i="25" s="1"/>
  <c r="AH42" i="19"/>
  <c r="AE64" i="16" s="1"/>
  <c r="AF81" i="20"/>
  <c r="AE64" i="17"/>
  <c r="AE95" i="17"/>
  <c r="AI88" i="18"/>
  <c r="AK88" i="18" s="1"/>
  <c r="F36" i="28"/>
  <c r="AG36" i="28"/>
  <c r="AI36" i="28" s="1"/>
  <c r="D32" i="6"/>
  <c r="AA39" i="28"/>
  <c r="AA44" i="28" s="1"/>
  <c r="AK19" i="21"/>
  <c r="AF52" i="21"/>
  <c r="AF56" i="21" s="1"/>
  <c r="AG36" i="22"/>
  <c r="AI36" i="22" s="1"/>
  <c r="F36" i="22"/>
  <c r="G72" i="16" s="1"/>
  <c r="AE22" i="16"/>
  <c r="AD17" i="15" s="1"/>
  <c r="AH17" i="15" s="1"/>
  <c r="AJ17" i="15" s="1"/>
  <c r="AE22" i="17"/>
  <c r="AI19" i="18"/>
  <c r="AK19" i="18" s="1"/>
  <c r="AH77" i="19"/>
  <c r="AE101" i="16" s="1"/>
  <c r="I51" i="24"/>
  <c r="AJ51" i="24"/>
  <c r="AL51" i="24" s="1"/>
  <c r="AL39" i="25"/>
  <c r="AG49" i="22"/>
  <c r="AI49" i="22" s="1"/>
  <c r="F49" i="22"/>
  <c r="G102" i="17" s="1"/>
  <c r="AI91" i="20"/>
  <c r="AK91" i="20" s="1"/>
  <c r="AF99" i="20"/>
  <c r="AF106" i="20" s="1"/>
  <c r="AH91" i="19"/>
  <c r="AE115" i="17"/>
  <c r="AA27" i="3"/>
  <c r="AA14" i="27"/>
  <c r="R29" i="5"/>
  <c r="AI94" i="18"/>
  <c r="AK94" i="18" s="1"/>
  <c r="H94" i="18"/>
  <c r="AI51" i="21"/>
  <c r="AK51" i="21" s="1"/>
  <c r="H51" i="21"/>
  <c r="H80" i="19" s="1"/>
  <c r="G104" i="16" s="1"/>
  <c r="I34" i="25"/>
  <c r="AJ34" i="25"/>
  <c r="H59" i="20"/>
  <c r="H59" i="19" s="1"/>
  <c r="AI59" i="20"/>
  <c r="AK59" i="20" s="1"/>
  <c r="AL23" i="25"/>
  <c r="AJ33" i="25"/>
  <c r="I33" i="25"/>
  <c r="I50" i="23" s="1"/>
  <c r="AF50" i="23" s="1"/>
  <c r="I22" i="14"/>
  <c r="AL32" i="25"/>
  <c r="T35" i="5"/>
  <c r="AE42" i="26"/>
  <c r="H74" i="18"/>
  <c r="AI74" i="18"/>
  <c r="AK74" i="18" s="1"/>
  <c r="AI27" i="20"/>
  <c r="AK27" i="20" s="1"/>
  <c r="H27" i="20"/>
  <c r="H27" i="19" s="1"/>
  <c r="H35" i="15" s="1"/>
  <c r="AI46" i="23"/>
  <c r="AE86" i="16" s="1"/>
  <c r="AJ40" i="24"/>
  <c r="AL40" i="24" s="1"/>
  <c r="AG60" i="24"/>
  <c r="AI40" i="23"/>
  <c r="AD60" i="24"/>
  <c r="AD64" i="24" s="1"/>
  <c r="I36" i="24"/>
  <c r="AJ36" i="24"/>
  <c r="AL36" i="24" s="1"/>
  <c r="AH46" i="19"/>
  <c r="AE69" i="16" s="1"/>
  <c r="AK23" i="21"/>
  <c r="AL33" i="25"/>
  <c r="AI65" i="18"/>
  <c r="AC97" i="18"/>
  <c r="H65" i="18"/>
  <c r="G69" i="17" s="1"/>
  <c r="H28" i="21"/>
  <c r="AI28" i="21"/>
  <c r="I101" i="30"/>
  <c r="H51" i="20"/>
  <c r="AI51" i="20"/>
  <c r="AK51" i="20" s="1"/>
  <c r="AI41" i="21"/>
  <c r="AK41" i="21" s="1"/>
  <c r="H41" i="21"/>
  <c r="AL25" i="25"/>
  <c r="AI42" i="23"/>
  <c r="AI38" i="23"/>
  <c r="AE67" i="16" s="1"/>
  <c r="AL21" i="25"/>
  <c r="H26" i="21"/>
  <c r="H50" i="19" s="1"/>
  <c r="AI26" i="21"/>
  <c r="AJ45" i="24"/>
  <c r="AL45" i="24" s="1"/>
  <c r="AI45" i="23"/>
  <c r="AL45" i="23" s="1"/>
  <c r="AN45" i="23" s="1"/>
  <c r="AE70" i="17"/>
  <c r="AK66" i="18"/>
  <c r="AI83" i="18"/>
  <c r="AE90" i="17"/>
  <c r="AK83" i="18"/>
  <c r="T33" i="6"/>
  <c r="I41" i="24"/>
  <c r="AJ41" i="24"/>
  <c r="T28" i="5"/>
  <c r="AE31" i="26"/>
  <c r="AE35" i="26" s="1"/>
  <c r="AH29" i="26"/>
  <c r="AJ29" i="26" s="1"/>
  <c r="F17" i="37"/>
  <c r="D25" i="32"/>
  <c r="H48" i="21"/>
  <c r="AI48" i="21"/>
  <c r="AK48" i="21" s="1"/>
  <c r="AE84" i="17"/>
  <c r="AH84" i="17" s="1"/>
  <c r="AJ84" i="17" s="1"/>
  <c r="AI60" i="20"/>
  <c r="AK60" i="20" s="1"/>
  <c r="AH60" i="19"/>
  <c r="AE84" i="16" s="1"/>
  <c r="H66" i="18"/>
  <c r="AI66" i="18"/>
  <c r="AK22" i="21"/>
  <c r="AH45" i="19"/>
  <c r="AE68" i="16" s="1"/>
  <c r="I27" i="25"/>
  <c r="AJ27" i="25"/>
  <c r="H96" i="18"/>
  <c r="AI96" i="18"/>
  <c r="AK96" i="18" s="1"/>
  <c r="AI67" i="21"/>
  <c r="AK67" i="21" s="1"/>
  <c r="AH96" i="19"/>
  <c r="AK96" i="19" s="1"/>
  <c r="AM96" i="19" s="1"/>
  <c r="AF70" i="21"/>
  <c r="AF79" i="21" s="1"/>
  <c r="AH94" i="19"/>
  <c r="AI65" i="21"/>
  <c r="AK65" i="21" s="1"/>
  <c r="AH28" i="19"/>
  <c r="AE40" i="16" s="1"/>
  <c r="AD36" i="15" s="1"/>
  <c r="AD51" i="22"/>
  <c r="AI34" i="22"/>
  <c r="AE68" i="17"/>
  <c r="AI42" i="20"/>
  <c r="AK42" i="20" s="1"/>
  <c r="AC81" i="20"/>
  <c r="J19" i="3" s="1"/>
  <c r="H42" i="20"/>
  <c r="H52" i="20"/>
  <c r="AI52" i="20"/>
  <c r="AK52" i="20" s="1"/>
  <c r="AE94" i="17"/>
  <c r="AH70" i="19"/>
  <c r="AI32" i="18"/>
  <c r="AE36" i="16"/>
  <c r="AD32" i="15" s="1"/>
  <c r="AH32" i="15" s="1"/>
  <c r="AJ32" i="15" s="1"/>
  <c r="AE36" i="17"/>
  <c r="AI49" i="23"/>
  <c r="AN49" i="23" s="1"/>
  <c r="AI89" i="18"/>
  <c r="AK89" i="18" s="1"/>
  <c r="H89" i="18"/>
  <c r="AI74" i="23"/>
  <c r="AL41" i="24"/>
  <c r="AI41" i="23"/>
  <c r="AN41" i="23" s="1"/>
  <c r="L17" i="32"/>
  <c r="H18" i="32"/>
  <c r="AI38" i="21"/>
  <c r="AK38" i="21" s="1"/>
  <c r="H38" i="21"/>
  <c r="AG40" i="22"/>
  <c r="F40" i="22"/>
  <c r="AJ68" i="24"/>
  <c r="AL68" i="24" s="1"/>
  <c r="AD77" i="24"/>
  <c r="G30" i="14" s="1"/>
  <c r="I68" i="24"/>
  <c r="H85" i="21"/>
  <c r="AI85" i="21"/>
  <c r="AK85" i="21" s="1"/>
  <c r="AC88" i="21"/>
  <c r="S25" i="11"/>
  <c r="AI53" i="20"/>
  <c r="AK53" i="20" s="1"/>
  <c r="H53" i="20"/>
  <c r="M62" i="34"/>
  <c r="AH59" i="19"/>
  <c r="AE83" i="16" s="1"/>
  <c r="AE83" i="17"/>
  <c r="AG34" i="22"/>
  <c r="F34" i="22"/>
  <c r="AA51" i="22"/>
  <c r="AH53" i="19"/>
  <c r="AE77" i="17"/>
  <c r="AI72" i="23"/>
  <c r="AI92" i="23"/>
  <c r="AJ73" i="25"/>
  <c r="AL73" i="25" s="1"/>
  <c r="G23" i="30"/>
  <c r="AE89" i="17"/>
  <c r="AK82" i="18"/>
  <c r="AH58" i="19"/>
  <c r="AE82" i="16" s="1"/>
  <c r="AE82" i="17"/>
  <c r="C112" i="30"/>
  <c r="AJ54" i="24"/>
  <c r="AL54" i="24" s="1"/>
  <c r="AI54" i="23"/>
  <c r="AE96" i="16" s="1"/>
  <c r="AI76" i="21"/>
  <c r="AK76" i="21" s="1"/>
  <c r="S32" i="11"/>
  <c r="H76" i="21"/>
  <c r="H105" i="19" s="1"/>
  <c r="AH80" i="19"/>
  <c r="AE104" i="16" s="1"/>
  <c r="AL34" i="25"/>
  <c r="E112" i="30"/>
  <c r="AG39" i="22"/>
  <c r="AI39" i="22" s="1"/>
  <c r="F39" i="22"/>
  <c r="AH68" i="19"/>
  <c r="H47" i="20"/>
  <c r="AI47" i="20"/>
  <c r="AK47" i="20" s="1"/>
  <c r="H36" i="18"/>
  <c r="F36" i="15"/>
  <c r="AI36" i="18"/>
  <c r="F38" i="2"/>
  <c r="H119" i="18"/>
  <c r="H121" i="18" s="1"/>
  <c r="AI119" i="18"/>
  <c r="AK119" i="18" s="1"/>
  <c r="G36" i="9"/>
  <c r="I36" i="9" s="1"/>
  <c r="AC121" i="18"/>
  <c r="AI51" i="23"/>
  <c r="M16" i="34"/>
  <c r="H77" i="21"/>
  <c r="S33" i="11"/>
  <c r="U33" i="11" s="1"/>
  <c r="AI77" i="21"/>
  <c r="AK77" i="21" s="1"/>
  <c r="AI104" i="20"/>
  <c r="H104" i="20"/>
  <c r="G33" i="11"/>
  <c r="I33" i="11" s="1"/>
  <c r="J42" i="3"/>
  <c r="T42" i="3" s="1"/>
  <c r="AJ56" i="25"/>
  <c r="AL56" i="25" s="1"/>
  <c r="I56" i="25"/>
  <c r="I74" i="23" s="1"/>
  <c r="AF74" i="23" s="1"/>
  <c r="R31" i="2" s="1"/>
  <c r="H30" i="21"/>
  <c r="AI30" i="21"/>
  <c r="AC54" i="18"/>
  <c r="G23" i="9" s="1"/>
  <c r="AI48" i="18"/>
  <c r="F50" i="15"/>
  <c r="X50" i="15" s="1"/>
  <c r="H48" i="18"/>
  <c r="G52" i="17" s="1"/>
  <c r="H73" i="20"/>
  <c r="AI73" i="20"/>
  <c r="AI65" i="20"/>
  <c r="AK65" i="20" s="1"/>
  <c r="H65" i="20"/>
  <c r="I23" i="25"/>
  <c r="I40" i="23" s="1"/>
  <c r="AF40" i="23" s="1"/>
  <c r="AJ23" i="25"/>
  <c r="AE40" i="17"/>
  <c r="AK36" i="18"/>
  <c r="AI53" i="23"/>
  <c r="AC29" i="20"/>
  <c r="J16" i="3" s="1"/>
  <c r="AI21" i="20"/>
  <c r="AK21" i="20" s="1"/>
  <c r="H21" i="20"/>
  <c r="H21" i="19" s="1"/>
  <c r="AG42" i="25"/>
  <c r="AG46" i="25" s="1"/>
  <c r="AL19" i="25"/>
  <c r="AI36" i="23"/>
  <c r="AE65" i="16" s="1"/>
  <c r="AF46" i="18"/>
  <c r="AI45" i="18"/>
  <c r="AI46" i="18" s="1"/>
  <c r="AE49" i="16"/>
  <c r="AD46" i="15" s="1"/>
  <c r="AH46" i="15" s="1"/>
  <c r="AJ46" i="15" s="1"/>
  <c r="AE49" i="17"/>
  <c r="AK69" i="18"/>
  <c r="F37" i="29"/>
  <c r="D33" i="37"/>
  <c r="D45" i="37" s="1"/>
  <c r="G49" i="23"/>
  <c r="G51" i="23"/>
  <c r="E92" i="16" s="1"/>
  <c r="E72" i="17"/>
  <c r="G41" i="23"/>
  <c r="E58" i="17"/>
  <c r="E75" i="16"/>
  <c r="E98" i="16"/>
  <c r="E76" i="17"/>
  <c r="E89" i="16"/>
  <c r="E33" i="17"/>
  <c r="E69" i="16"/>
  <c r="E70" i="16"/>
  <c r="E103" i="16"/>
  <c r="F54" i="18"/>
  <c r="D25" i="37"/>
  <c r="E83" i="17"/>
  <c r="E75" i="17"/>
  <c r="E88" i="16"/>
  <c r="F88" i="21"/>
  <c r="F106" i="19"/>
  <c r="E130" i="16" s="1"/>
  <c r="G25" i="7"/>
  <c r="W33" i="14"/>
  <c r="C100" i="16"/>
  <c r="E102" i="16"/>
  <c r="C88" i="16"/>
  <c r="E87" i="24"/>
  <c r="E98" i="24" s="1"/>
  <c r="C78" i="16"/>
  <c r="C97" i="16"/>
  <c r="C92" i="16"/>
  <c r="C86" i="16"/>
  <c r="C74" i="16"/>
  <c r="C99" i="16"/>
  <c r="C119" i="16"/>
  <c r="C47" i="26"/>
  <c r="E78" i="16"/>
  <c r="C91" i="16"/>
  <c r="E91" i="16"/>
  <c r="E74" i="16"/>
  <c r="E38" i="17"/>
  <c r="E39" i="17"/>
  <c r="E40" i="17"/>
  <c r="C39" i="16"/>
  <c r="C118" i="16"/>
  <c r="C77" i="16"/>
  <c r="E96" i="16"/>
  <c r="E31" i="26"/>
  <c r="E35" i="26" s="1"/>
  <c r="E82" i="17"/>
  <c r="E42" i="26"/>
  <c r="F117" i="19"/>
  <c r="E119" i="16"/>
  <c r="E95" i="17"/>
  <c r="E101" i="16"/>
  <c r="E101" i="17"/>
  <c r="E100" i="16"/>
  <c r="E100" i="17"/>
  <c r="E120" i="16"/>
  <c r="E99" i="16"/>
  <c r="E99" i="17"/>
  <c r="E27" i="17"/>
  <c r="E30" i="17" s="1"/>
  <c r="D39" i="29"/>
  <c r="D44" i="29" s="1"/>
  <c r="E121" i="17"/>
  <c r="E123" i="17" s="1"/>
  <c r="E132" i="17" s="1"/>
  <c r="D51" i="22"/>
  <c r="E92" i="17"/>
  <c r="E118" i="16"/>
  <c r="C40" i="16"/>
  <c r="C40" i="17"/>
  <c r="C42" i="17" s="1"/>
  <c r="E58" i="16"/>
  <c r="E38" i="16"/>
  <c r="F121" i="18"/>
  <c r="E127" i="16"/>
  <c r="E39" i="16"/>
  <c r="E40" i="16"/>
  <c r="F97" i="18"/>
  <c r="F38" i="18"/>
  <c r="C123" i="17"/>
  <c r="C132" i="17" s="1"/>
  <c r="D39" i="28"/>
  <c r="D44" i="28" s="1"/>
  <c r="G70" i="23"/>
  <c r="G59" i="25"/>
  <c r="G66" i="25" s="1"/>
  <c r="G38" i="23"/>
  <c r="E67" i="16" s="1"/>
  <c r="G42" i="25"/>
  <c r="G46" i="25" s="1"/>
  <c r="G46" i="23"/>
  <c r="G60" i="24"/>
  <c r="G64" i="24" s="1"/>
  <c r="F52" i="21"/>
  <c r="F56" i="21" s="1"/>
  <c r="E94" i="16"/>
  <c r="F81" i="20"/>
  <c r="F97" i="19"/>
  <c r="F99" i="20"/>
  <c r="F106" i="20" s="1"/>
  <c r="C68" i="16"/>
  <c r="D29" i="19"/>
  <c r="C104" i="16"/>
  <c r="F21" i="19"/>
  <c r="F29" i="20"/>
  <c r="F34" i="19"/>
  <c r="F36" i="20"/>
  <c r="F90" i="19"/>
  <c r="F70" i="21"/>
  <c r="F79" i="21" s="1"/>
  <c r="G68" i="23"/>
  <c r="G77" i="24"/>
  <c r="G84" i="24" s="1"/>
  <c r="G90" i="23"/>
  <c r="G94" i="24"/>
  <c r="F17" i="19"/>
  <c r="AH33" i="15"/>
  <c r="AJ33" i="15" s="1"/>
  <c r="D117" i="19"/>
  <c r="E77" i="23"/>
  <c r="E84" i="23" s="1"/>
  <c r="C113" i="16"/>
  <c r="C94" i="16"/>
  <c r="C58" i="16"/>
  <c r="C58" i="17"/>
  <c r="C130" i="16"/>
  <c r="C75" i="16"/>
  <c r="D34" i="2"/>
  <c r="C90" i="16"/>
  <c r="C47" i="16"/>
  <c r="C50" i="16" s="1"/>
  <c r="E60" i="23"/>
  <c r="D99" i="19"/>
  <c r="D108" i="19" s="1"/>
  <c r="D38" i="20"/>
  <c r="D85" i="20" s="1"/>
  <c r="D109" i="20" s="1"/>
  <c r="D119" i="20" s="1"/>
  <c r="D121" i="20" s="1"/>
  <c r="F13" i="20" s="1"/>
  <c r="E69" i="25"/>
  <c r="E79" i="25" s="1"/>
  <c r="D82" i="21"/>
  <c r="D92" i="21" s="1"/>
  <c r="D81" i="19"/>
  <c r="C105" i="17"/>
  <c r="Y132" i="17"/>
  <c r="Y58" i="17"/>
  <c r="K27" i="12"/>
  <c r="K37" i="12" s="1"/>
  <c r="Z36" i="19"/>
  <c r="Y50" i="17"/>
  <c r="R49" i="2"/>
  <c r="W26" i="11"/>
  <c r="Y47" i="26"/>
  <c r="Z117" i="19"/>
  <c r="Y42" i="16"/>
  <c r="Y60" i="16" s="1"/>
  <c r="W27" i="14"/>
  <c r="AA69" i="25"/>
  <c r="AA79" i="25" s="1"/>
  <c r="AA60" i="23"/>
  <c r="Z82" i="21"/>
  <c r="Z92" i="21" s="1"/>
  <c r="Y42" i="17"/>
  <c r="Z56" i="18"/>
  <c r="Z101" i="18" s="1"/>
  <c r="Z124" i="18" s="1"/>
  <c r="Y105" i="17"/>
  <c r="Y141" i="17"/>
  <c r="Z81" i="19"/>
  <c r="Z99" i="19"/>
  <c r="Z108" i="19" s="1"/>
  <c r="Z38" i="20"/>
  <c r="Z85" i="20" s="1"/>
  <c r="Z109" i="20" s="1"/>
  <c r="Z119" i="20" s="1"/>
  <c r="X85" i="19"/>
  <c r="X111" i="19" s="1"/>
  <c r="X121" i="19" s="1"/>
  <c r="U109" i="16"/>
  <c r="U135" i="16" s="1"/>
  <c r="D29" i="6"/>
  <c r="W28" i="27"/>
  <c r="H73" i="19" l="1"/>
  <c r="H62" i="19"/>
  <c r="AE62" i="19" s="1"/>
  <c r="AK62" i="19" s="1"/>
  <c r="AM62" i="19" s="1"/>
  <c r="H74" i="19"/>
  <c r="AE68" i="19"/>
  <c r="AK68" i="19" s="1"/>
  <c r="AM68" i="19" s="1"/>
  <c r="H65" i="19"/>
  <c r="H70" i="19"/>
  <c r="AE70" i="19" s="1"/>
  <c r="AK70" i="19" s="1"/>
  <c r="AM70" i="19" s="1"/>
  <c r="AB104" i="16"/>
  <c r="AH104" i="16" s="1"/>
  <c r="AJ104" i="16" s="1"/>
  <c r="H53" i="19"/>
  <c r="H64" i="19"/>
  <c r="G73" i="17"/>
  <c r="AB73" i="17" s="1"/>
  <c r="AH73" i="17" s="1"/>
  <c r="AJ73" i="17" s="1"/>
  <c r="H49" i="19"/>
  <c r="H52" i="19"/>
  <c r="G82" i="17"/>
  <c r="AB82" i="17" s="1"/>
  <c r="AH82" i="17" s="1"/>
  <c r="AJ82" i="17" s="1"/>
  <c r="H58" i="19"/>
  <c r="H77" i="19"/>
  <c r="AE77" i="19" s="1"/>
  <c r="AK77" i="19" s="1"/>
  <c r="AM77" i="19" s="1"/>
  <c r="H51" i="19"/>
  <c r="G75" i="16" s="1"/>
  <c r="H66" i="19"/>
  <c r="H54" i="19"/>
  <c r="AE54" i="19" s="1"/>
  <c r="AK54" i="19" s="1"/>
  <c r="AM54" i="19" s="1"/>
  <c r="AE80" i="19"/>
  <c r="AK80" i="19" s="1"/>
  <c r="AM80" i="19" s="1"/>
  <c r="AE61" i="19"/>
  <c r="AK61" i="19" s="1"/>
  <c r="AM61" i="19" s="1"/>
  <c r="H67" i="19"/>
  <c r="AE67" i="19" s="1"/>
  <c r="AK67" i="19" s="1"/>
  <c r="AM67" i="19" s="1"/>
  <c r="G95" i="17"/>
  <c r="H71" i="19"/>
  <c r="G95" i="16" s="1"/>
  <c r="I49" i="23"/>
  <c r="AF49" i="23" s="1"/>
  <c r="AL49" i="23" s="1"/>
  <c r="G25" i="13"/>
  <c r="K25" i="13" s="1"/>
  <c r="M25" i="13" s="1"/>
  <c r="G40" i="7"/>
  <c r="K40" i="7" s="1"/>
  <c r="G22" i="11"/>
  <c r="AE119" i="16"/>
  <c r="AD17" i="2"/>
  <c r="H106" i="19"/>
  <c r="G130" i="16" s="1"/>
  <c r="G76" i="17"/>
  <c r="AG69" i="25"/>
  <c r="AG79" i="25" s="1"/>
  <c r="AH50" i="15"/>
  <c r="AJ50" i="15" s="1"/>
  <c r="G96" i="16"/>
  <c r="G52" i="16"/>
  <c r="AE88" i="16"/>
  <c r="G127" i="16"/>
  <c r="G89" i="17"/>
  <c r="G31" i="7"/>
  <c r="G33" i="8"/>
  <c r="G74" i="16"/>
  <c r="AE94" i="16"/>
  <c r="F39" i="28"/>
  <c r="F44" i="28" s="1"/>
  <c r="H34" i="6"/>
  <c r="AF38" i="20"/>
  <c r="AF85" i="20" s="1"/>
  <c r="AF109" i="20" s="1"/>
  <c r="AF119" i="20" s="1"/>
  <c r="AF121" i="20" s="1"/>
  <c r="T37" i="5"/>
  <c r="AA35" i="3"/>
  <c r="AA43" i="3" s="1"/>
  <c r="G33" i="10"/>
  <c r="K33" i="10" s="1"/>
  <c r="M33" i="10" s="1"/>
  <c r="AK46" i="18"/>
  <c r="AD55" i="22"/>
  <c r="AD66" i="22" s="1"/>
  <c r="AD76" i="22" s="1"/>
  <c r="G70" i="17"/>
  <c r="I53" i="23"/>
  <c r="AF53" i="23" s="1"/>
  <c r="AL53" i="23" s="1"/>
  <c r="AN53" i="23" s="1"/>
  <c r="AE75" i="16"/>
  <c r="D50" i="15"/>
  <c r="V50" i="15" s="1"/>
  <c r="AE100" i="16"/>
  <c r="AE97" i="16"/>
  <c r="D38" i="2"/>
  <c r="D39" i="3" s="1"/>
  <c r="H42" i="3"/>
  <c r="R42" i="3" s="1"/>
  <c r="I41" i="23"/>
  <c r="AF41" i="23" s="1"/>
  <c r="AL41" i="23" s="1"/>
  <c r="I44" i="23"/>
  <c r="AF44" i="23" s="1"/>
  <c r="AL44" i="23" s="1"/>
  <c r="AN44" i="23" s="1"/>
  <c r="G130" i="17"/>
  <c r="AB130" i="17" s="1"/>
  <c r="AA17" i="3"/>
  <c r="G75" i="17"/>
  <c r="G83" i="16"/>
  <c r="AB83" i="16" s="1"/>
  <c r="AH83" i="16" s="1"/>
  <c r="AJ83" i="16" s="1"/>
  <c r="F18" i="2"/>
  <c r="F19" i="3" s="1"/>
  <c r="G24" i="9"/>
  <c r="I24" i="9" s="1"/>
  <c r="I23" i="9"/>
  <c r="G23" i="7"/>
  <c r="P31" i="2"/>
  <c r="G120" i="16"/>
  <c r="AI77" i="23"/>
  <c r="AI84" i="23" s="1"/>
  <c r="AK34" i="20"/>
  <c r="AI36" i="20"/>
  <c r="AK36" i="20" s="1"/>
  <c r="F24" i="37"/>
  <c r="F25" i="37" s="1"/>
  <c r="Z25" i="37"/>
  <c r="C45" i="31"/>
  <c r="AI36" i="29"/>
  <c r="AG39" i="29"/>
  <c r="AI39" i="29" s="1"/>
  <c r="AL31" i="24"/>
  <c r="AE58" i="17"/>
  <c r="AE74" i="16"/>
  <c r="AK46" i="19"/>
  <c r="AM46" i="19" s="1"/>
  <c r="AE120" i="16"/>
  <c r="AE77" i="16"/>
  <c r="AE118" i="16"/>
  <c r="T29" i="5"/>
  <c r="T32" i="5" s="1"/>
  <c r="W28" i="5"/>
  <c r="AK94" i="19"/>
  <c r="AM94" i="19" s="1"/>
  <c r="AD29" i="2"/>
  <c r="L18" i="32"/>
  <c r="AL40" i="23"/>
  <c r="AN40" i="23" s="1"/>
  <c r="AI26" i="23"/>
  <c r="AL23" i="23"/>
  <c r="AL26" i="23" s="1"/>
  <c r="AD48" i="2"/>
  <c r="AE138" i="16" s="1"/>
  <c r="AI94" i="23"/>
  <c r="G47" i="17"/>
  <c r="G50" i="17" s="1"/>
  <c r="H36" i="20"/>
  <c r="H17" i="3" s="1"/>
  <c r="AE42" i="17"/>
  <c r="AH84" i="16"/>
  <c r="AJ84" i="16" s="1"/>
  <c r="W36" i="5"/>
  <c r="Y36" i="5" s="1"/>
  <c r="AD42" i="3"/>
  <c r="AF42" i="3" s="1"/>
  <c r="J43" i="3"/>
  <c r="AE47" i="26"/>
  <c r="AJ59" i="25"/>
  <c r="AJ94" i="24"/>
  <c r="AL94" i="24" s="1"/>
  <c r="AL42" i="23"/>
  <c r="AN42" i="23" s="1"/>
  <c r="AL48" i="23"/>
  <c r="AN48" i="23" s="1"/>
  <c r="AL50" i="23"/>
  <c r="AN50" i="23" s="1"/>
  <c r="AI63" i="22"/>
  <c r="AK88" i="21"/>
  <c r="AI52" i="21"/>
  <c r="AI56" i="21" s="1"/>
  <c r="AF82" i="21"/>
  <c r="AF92" i="21" s="1"/>
  <c r="H40" i="2"/>
  <c r="AE105" i="19"/>
  <c r="AE50" i="17"/>
  <c r="AE105" i="17"/>
  <c r="I25" i="14"/>
  <c r="K25" i="14"/>
  <c r="N32" i="6"/>
  <c r="T34" i="6"/>
  <c r="Y34" i="6" s="1"/>
  <c r="N37" i="5"/>
  <c r="AE123" i="17"/>
  <c r="AE91" i="16"/>
  <c r="AL55" i="23"/>
  <c r="AN55" i="23" s="1"/>
  <c r="AL54" i="23"/>
  <c r="AN54" i="23" s="1"/>
  <c r="AL56" i="23"/>
  <c r="AL43" i="23"/>
  <c r="AN43" i="23" s="1"/>
  <c r="AH53" i="15"/>
  <c r="AJ53" i="15" s="1"/>
  <c r="C157" i="30"/>
  <c r="G39" i="16"/>
  <c r="I59" i="25"/>
  <c r="I66" i="25" s="1"/>
  <c r="AE78" i="16"/>
  <c r="AA19" i="3"/>
  <c r="I51" i="23"/>
  <c r="F38" i="15"/>
  <c r="AI38" i="18"/>
  <c r="AK38" i="18" s="1"/>
  <c r="H38" i="18"/>
  <c r="D15" i="2" s="1"/>
  <c r="H52" i="21"/>
  <c r="H56" i="21" s="1"/>
  <c r="D34" i="6"/>
  <c r="D39" i="6" s="1"/>
  <c r="G86" i="17"/>
  <c r="I42" i="25"/>
  <c r="I46" i="25" s="1"/>
  <c r="AJ42" i="25"/>
  <c r="I60" i="24"/>
  <c r="I64" i="24" s="1"/>
  <c r="I103" i="30"/>
  <c r="AI97" i="18"/>
  <c r="AK97" i="18" s="1"/>
  <c r="D48" i="32"/>
  <c r="G103" i="17"/>
  <c r="I68" i="23"/>
  <c r="AK76" i="19"/>
  <c r="AM76" i="19" s="1"/>
  <c r="AE92" i="16"/>
  <c r="H47" i="19"/>
  <c r="G40" i="17"/>
  <c r="AB40" i="17" s="1"/>
  <c r="AH40" i="17" s="1"/>
  <c r="AJ40" i="17" s="1"/>
  <c r="AI54" i="18"/>
  <c r="AK54" i="18" s="1"/>
  <c r="X56" i="15"/>
  <c r="J21" i="3"/>
  <c r="G83" i="17"/>
  <c r="AB83" i="17" s="1"/>
  <c r="AH83" i="17" s="1"/>
  <c r="AJ83" i="17" s="1"/>
  <c r="I90" i="23"/>
  <c r="P48" i="2" s="1"/>
  <c r="I94" i="24"/>
  <c r="AE44" i="16"/>
  <c r="AN23" i="23"/>
  <c r="AH42" i="26"/>
  <c r="AJ42" i="26" s="1"/>
  <c r="AJ39" i="26"/>
  <c r="R50" i="2"/>
  <c r="AL92" i="23"/>
  <c r="AN92" i="23" s="1"/>
  <c r="AE47" i="16"/>
  <c r="AD44" i="15" s="1"/>
  <c r="AH36" i="19"/>
  <c r="G29" i="11"/>
  <c r="AC106" i="20"/>
  <c r="AK99" i="20"/>
  <c r="H99" i="20"/>
  <c r="H106" i="20" s="1"/>
  <c r="H33" i="3"/>
  <c r="H35" i="3" s="1"/>
  <c r="G121" i="17"/>
  <c r="G123" i="17" s="1"/>
  <c r="H97" i="19"/>
  <c r="D29" i="15"/>
  <c r="G33" i="17"/>
  <c r="AC56" i="21"/>
  <c r="S23" i="11"/>
  <c r="AK49" i="20"/>
  <c r="AI81" i="20"/>
  <c r="AK81" i="20" s="1"/>
  <c r="G98" i="17"/>
  <c r="AB98" i="17" s="1"/>
  <c r="AH98" i="17" s="1"/>
  <c r="AJ98" i="17" s="1"/>
  <c r="G88" i="17"/>
  <c r="AB88" i="17" s="1"/>
  <c r="AH88" i="17" s="1"/>
  <c r="AJ88" i="17" s="1"/>
  <c r="G55" i="17"/>
  <c r="G58" i="17" s="1"/>
  <c r="D53" i="15"/>
  <c r="G55" i="16"/>
  <c r="H36" i="15"/>
  <c r="AE28" i="19"/>
  <c r="AC79" i="21"/>
  <c r="AI70" i="21"/>
  <c r="S29" i="11"/>
  <c r="AK70" i="21"/>
  <c r="H90" i="19"/>
  <c r="H70" i="21"/>
  <c r="H79" i="21" s="1"/>
  <c r="AF27" i="18"/>
  <c r="AI23" i="18"/>
  <c r="AK23" i="18" s="1"/>
  <c r="AE39" i="16"/>
  <c r="AH29" i="19"/>
  <c r="AD15" i="2" s="1"/>
  <c r="AD66" i="25"/>
  <c r="AD69" i="25" s="1"/>
  <c r="S30" i="14"/>
  <c r="S33" i="14" s="1"/>
  <c r="AD22" i="15"/>
  <c r="AH27" i="16"/>
  <c r="AJ27" i="16" s="1"/>
  <c r="AI17" i="22"/>
  <c r="AG30" i="22"/>
  <c r="AH23" i="15"/>
  <c r="AJ23" i="15"/>
  <c r="I20" i="11"/>
  <c r="G20" i="10"/>
  <c r="H15" i="3"/>
  <c r="H17" i="19"/>
  <c r="AF73" i="23"/>
  <c r="P30" i="2"/>
  <c r="G119" i="16"/>
  <c r="G100" i="16"/>
  <c r="G100" i="17"/>
  <c r="G90" i="17"/>
  <c r="AL46" i="25"/>
  <c r="G102" i="16"/>
  <c r="AB102" i="16" s="1"/>
  <c r="AF58" i="23"/>
  <c r="AL58" i="23" s="1"/>
  <c r="AN58" i="23" s="1"/>
  <c r="AK91" i="19"/>
  <c r="AM91" i="19" s="1"/>
  <c r="AD26" i="2"/>
  <c r="AE115" i="16"/>
  <c r="G64" i="17"/>
  <c r="H42" i="19"/>
  <c r="G33" i="14"/>
  <c r="I30" i="14"/>
  <c r="I33" i="14" s="1"/>
  <c r="H88" i="21"/>
  <c r="H114" i="19"/>
  <c r="H49" i="2" s="1"/>
  <c r="G25" i="10"/>
  <c r="K25" i="10" s="1"/>
  <c r="M25" i="10" s="1"/>
  <c r="U25" i="11"/>
  <c r="G77" i="17"/>
  <c r="AA55" i="22"/>
  <c r="AA66" i="22" s="1"/>
  <c r="AA76" i="22" s="1"/>
  <c r="AA78" i="22" s="1"/>
  <c r="G24" i="12"/>
  <c r="U32" i="11"/>
  <c r="G32" i="10"/>
  <c r="K32" i="10" s="1"/>
  <c r="W32" i="11"/>
  <c r="F31" i="37"/>
  <c r="F33" i="37" s="1"/>
  <c r="F45" i="37" s="1"/>
  <c r="Z33" i="37"/>
  <c r="Z45" i="37" s="1"/>
  <c r="H131" i="18"/>
  <c r="F49" i="2"/>
  <c r="H135" i="18"/>
  <c r="G139" i="17" s="1"/>
  <c r="F50" i="2"/>
  <c r="H81" i="20"/>
  <c r="H19" i="3" s="1"/>
  <c r="AD37" i="2"/>
  <c r="W35" i="5"/>
  <c r="Y35" i="5" s="1"/>
  <c r="AL59" i="25"/>
  <c r="H29" i="20"/>
  <c r="H16" i="3" s="1"/>
  <c r="H97" i="18"/>
  <c r="D18" i="2" s="1"/>
  <c r="D19" i="3" s="1"/>
  <c r="AG51" i="22"/>
  <c r="AI51" i="22" s="1"/>
  <c r="F51" i="22"/>
  <c r="F55" i="22" s="1"/>
  <c r="F66" i="22" s="1"/>
  <c r="F76" i="22" s="1"/>
  <c r="H54" i="18"/>
  <c r="D17" i="2" s="1"/>
  <c r="D18" i="3" s="1"/>
  <c r="G97" i="17"/>
  <c r="AD84" i="24"/>
  <c r="G78" i="17"/>
  <c r="G40" i="16"/>
  <c r="AB40" i="16" s="1"/>
  <c r="AH40" i="16" s="1"/>
  <c r="AJ40" i="16" s="1"/>
  <c r="AI61" i="22"/>
  <c r="G101" i="17"/>
  <c r="AI88" i="21"/>
  <c r="K32" i="13"/>
  <c r="M32" i="13" s="1"/>
  <c r="AC56" i="18"/>
  <c r="AC101" i="18" s="1"/>
  <c r="AC124" i="18" s="1"/>
  <c r="AF72" i="23"/>
  <c r="AE126" i="16"/>
  <c r="AD56" i="15"/>
  <c r="AJ77" i="24"/>
  <c r="AL77" i="24" s="1"/>
  <c r="G103" i="16"/>
  <c r="G96" i="17"/>
  <c r="P29" i="2"/>
  <c r="G23" i="11"/>
  <c r="I23" i="11" s="1"/>
  <c r="AL57" i="23"/>
  <c r="AN57" i="23" s="1"/>
  <c r="AE130" i="17"/>
  <c r="AG39" i="28"/>
  <c r="AI39" i="28" s="1"/>
  <c r="AE107" i="16"/>
  <c r="D35" i="15"/>
  <c r="V35" i="15" s="1"/>
  <c r="G115" i="16"/>
  <c r="G23" i="14"/>
  <c r="I23" i="14" s="1"/>
  <c r="AL62" i="23"/>
  <c r="AN62" i="23" s="1"/>
  <c r="AH99" i="19"/>
  <c r="AH108" i="19" s="1"/>
  <c r="AA16" i="3"/>
  <c r="G39" i="17"/>
  <c r="G38" i="17"/>
  <c r="AG39" i="27"/>
  <c r="AD41" i="2"/>
  <c r="AE85" i="16"/>
  <c r="AG64" i="24"/>
  <c r="I77" i="24"/>
  <c r="I84" i="24" s="1"/>
  <c r="I36" i="23"/>
  <c r="AL26" i="24"/>
  <c r="D37" i="5"/>
  <c r="D42" i="5" s="1"/>
  <c r="G99" i="16"/>
  <c r="G127" i="17"/>
  <c r="G69" i="16"/>
  <c r="G72" i="17"/>
  <c r="AI29" i="20"/>
  <c r="AK29" i="20" s="1"/>
  <c r="N18" i="2"/>
  <c r="N20" i="2" s="1"/>
  <c r="D36" i="15"/>
  <c r="G21" i="11"/>
  <c r="F56" i="15"/>
  <c r="AD31" i="2"/>
  <c r="AE50" i="19"/>
  <c r="AK50" i="19" s="1"/>
  <c r="AM50" i="19" s="1"/>
  <c r="AH31" i="26"/>
  <c r="AE113" i="16"/>
  <c r="G94" i="17"/>
  <c r="AE58" i="16"/>
  <c r="N33" i="6"/>
  <c r="W33" i="6" s="1"/>
  <c r="Y33" i="6" s="1"/>
  <c r="G42" i="26"/>
  <c r="G47" i="26" s="1"/>
  <c r="G21" i="9"/>
  <c r="I21" i="9" s="1"/>
  <c r="AI99" i="20"/>
  <c r="G27" i="17"/>
  <c r="G30" i="17" s="1"/>
  <c r="B32" i="6"/>
  <c r="B34" i="6" s="1"/>
  <c r="B39" i="6" s="1"/>
  <c r="AE27" i="19"/>
  <c r="AH81" i="19"/>
  <c r="S23" i="14"/>
  <c r="AK52" i="21"/>
  <c r="F17" i="2"/>
  <c r="AC38" i="20"/>
  <c r="AC85" i="20" s="1"/>
  <c r="W33" i="11"/>
  <c r="AE99" i="16"/>
  <c r="G33" i="16"/>
  <c r="H29" i="15"/>
  <c r="G38" i="16"/>
  <c r="H34" i="15"/>
  <c r="F39" i="29"/>
  <c r="F44" i="29" s="1"/>
  <c r="F33" i="6"/>
  <c r="L33" i="6" s="1"/>
  <c r="AE60" i="19"/>
  <c r="AK60" i="19" s="1"/>
  <c r="AM60" i="19" s="1"/>
  <c r="H29" i="19"/>
  <c r="H15" i="2" s="1"/>
  <c r="H36" i="19"/>
  <c r="H16" i="2" s="1"/>
  <c r="G47" i="16"/>
  <c r="G50" i="16" s="1"/>
  <c r="AE26" i="19"/>
  <c r="J34" i="15" s="1"/>
  <c r="X34" i="15" s="1"/>
  <c r="AH34" i="15" s="1"/>
  <c r="AJ34" i="15" s="1"/>
  <c r="AE75" i="19"/>
  <c r="AK75" i="19" s="1"/>
  <c r="AM75" i="19" s="1"/>
  <c r="E77" i="16"/>
  <c r="E97" i="16"/>
  <c r="W37" i="14"/>
  <c r="AL74" i="23"/>
  <c r="AN74" i="23" s="1"/>
  <c r="G69" i="25"/>
  <c r="G79" i="25" s="1"/>
  <c r="E68" i="16"/>
  <c r="AE45" i="19"/>
  <c r="AK45" i="19" s="1"/>
  <c r="AM45" i="19" s="1"/>
  <c r="E42" i="17"/>
  <c r="E60" i="17" s="1"/>
  <c r="E95" i="16"/>
  <c r="E105" i="17"/>
  <c r="L35" i="5"/>
  <c r="L37" i="5" s="1"/>
  <c r="B37" i="5"/>
  <c r="E47" i="26"/>
  <c r="G87" i="24"/>
  <c r="G98" i="24" s="1"/>
  <c r="L28" i="5"/>
  <c r="L29" i="5" s="1"/>
  <c r="B29" i="5"/>
  <c r="E82" i="16"/>
  <c r="D55" i="22"/>
  <c r="D66" i="22" s="1"/>
  <c r="D76" i="22" s="1"/>
  <c r="AF70" i="23"/>
  <c r="E115" i="16"/>
  <c r="AF46" i="23"/>
  <c r="AL46" i="23" s="1"/>
  <c r="AN46" i="23" s="1"/>
  <c r="E86" i="16"/>
  <c r="E121" i="16"/>
  <c r="E33" i="16"/>
  <c r="E42" i="16" s="1"/>
  <c r="E47" i="16"/>
  <c r="E50" i="16" s="1"/>
  <c r="F99" i="19"/>
  <c r="F108" i="19" s="1"/>
  <c r="E114" i="16"/>
  <c r="E113" i="16"/>
  <c r="G94" i="23"/>
  <c r="E138" i="17"/>
  <c r="E139" i="17"/>
  <c r="F56" i="18"/>
  <c r="F101" i="18" s="1"/>
  <c r="F124" i="18" s="1"/>
  <c r="F81" i="19"/>
  <c r="G77" i="23"/>
  <c r="G84" i="23" s="1"/>
  <c r="AF38" i="23"/>
  <c r="AL38" i="23" s="1"/>
  <c r="AN38" i="23" s="1"/>
  <c r="G60" i="23"/>
  <c r="F82" i="21"/>
  <c r="F92" i="21" s="1"/>
  <c r="D38" i="19"/>
  <c r="D85" i="19" s="1"/>
  <c r="D111" i="19" s="1"/>
  <c r="D121" i="19" s="1"/>
  <c r="F36" i="19"/>
  <c r="AE34" i="19"/>
  <c r="F38" i="20"/>
  <c r="F85" i="20" s="1"/>
  <c r="F109" i="20" s="1"/>
  <c r="F119" i="20" s="1"/>
  <c r="AE21" i="19"/>
  <c r="F29" i="19"/>
  <c r="C60" i="17"/>
  <c r="C109" i="17" s="1"/>
  <c r="C135" i="17" s="1"/>
  <c r="C105" i="16"/>
  <c r="K26" i="11"/>
  <c r="K39" i="11" s="1"/>
  <c r="O33" i="13"/>
  <c r="Z38" i="19"/>
  <c r="Z85" i="19" s="1"/>
  <c r="Z111" i="19" s="1"/>
  <c r="Z121" i="19" s="1"/>
  <c r="O35" i="10"/>
  <c r="Y123" i="16"/>
  <c r="Y132" i="16" s="1"/>
  <c r="O26" i="10"/>
  <c r="AA64" i="23"/>
  <c r="AA87" i="23" s="1"/>
  <c r="AA98" i="23" s="1"/>
  <c r="Y105" i="16"/>
  <c r="Y109" i="16" s="1"/>
  <c r="F20" i="33"/>
  <c r="K88" i="30"/>
  <c r="K116" i="30"/>
  <c r="M45" i="34"/>
  <c r="K95" i="30"/>
  <c r="C22" i="8"/>
  <c r="L22" i="32"/>
  <c r="M40" i="34"/>
  <c r="K27" i="31"/>
  <c r="M58" i="34"/>
  <c r="M21" i="34"/>
  <c r="M55" i="34"/>
  <c r="J19" i="33"/>
  <c r="M35" i="34"/>
  <c r="M65" i="34"/>
  <c r="J16" i="33"/>
  <c r="H20" i="33"/>
  <c r="K117" i="30"/>
  <c r="K85" i="30"/>
  <c r="K107" i="30"/>
  <c r="K64" i="30"/>
  <c r="Z12" i="37"/>
  <c r="M32" i="34"/>
  <c r="M22" i="34"/>
  <c r="M36" i="34"/>
  <c r="K149" i="30"/>
  <c r="M44" i="34"/>
  <c r="M41" i="34"/>
  <c r="G101" i="16" l="1"/>
  <c r="G78" i="16"/>
  <c r="G91" i="16"/>
  <c r="I22" i="11"/>
  <c r="G22" i="10"/>
  <c r="AE51" i="19"/>
  <c r="AK51" i="19" s="1"/>
  <c r="AM51" i="19" s="1"/>
  <c r="H41" i="2"/>
  <c r="AE106" i="19"/>
  <c r="G79" i="16"/>
  <c r="D50" i="2"/>
  <c r="G58" i="16"/>
  <c r="D42" i="2"/>
  <c r="H43" i="3"/>
  <c r="G33" i="7"/>
  <c r="G86" i="16"/>
  <c r="V36" i="15"/>
  <c r="T42" i="5"/>
  <c r="I69" i="25"/>
  <c r="I79" i="25" s="1"/>
  <c r="L18" i="2"/>
  <c r="L19" i="3" s="1"/>
  <c r="G94" i="16"/>
  <c r="AE59" i="19"/>
  <c r="AK59" i="19" s="1"/>
  <c r="AM59" i="19" s="1"/>
  <c r="D49" i="2"/>
  <c r="G138" i="17"/>
  <c r="Y28" i="5"/>
  <c r="W29" i="5"/>
  <c r="AK105" i="19"/>
  <c r="AM105" i="19" s="1"/>
  <c r="J40" i="2"/>
  <c r="G88" i="16"/>
  <c r="AB88" i="16" s="1"/>
  <c r="AH88" i="16" s="1"/>
  <c r="AJ88" i="16" s="1"/>
  <c r="AE64" i="19"/>
  <c r="AK64" i="19" s="1"/>
  <c r="AM64" i="19" s="1"/>
  <c r="H25" i="2"/>
  <c r="G114" i="16"/>
  <c r="AE90" i="19"/>
  <c r="K20" i="10"/>
  <c r="M20" i="10" s="1"/>
  <c r="G20" i="7"/>
  <c r="AL73" i="23"/>
  <c r="AN73" i="23" s="1"/>
  <c r="R30" i="2"/>
  <c r="H117" i="19"/>
  <c r="H51" i="2"/>
  <c r="AE114" i="19"/>
  <c r="J49" i="2" s="1"/>
  <c r="AD79" i="25"/>
  <c r="AJ69" i="25"/>
  <c r="AL69" i="25"/>
  <c r="G76" i="16"/>
  <c r="AE52" i="19"/>
  <c r="AK52" i="19" s="1"/>
  <c r="AM52" i="19" s="1"/>
  <c r="AE123" i="16"/>
  <c r="G30" i="13"/>
  <c r="K30" i="13" s="1"/>
  <c r="U30" i="14"/>
  <c r="J46" i="3"/>
  <c r="J55" i="3" s="1"/>
  <c r="I27" i="14"/>
  <c r="W32" i="6"/>
  <c r="N34" i="6"/>
  <c r="AE47" i="19"/>
  <c r="AK47" i="19" s="1"/>
  <c r="AM47" i="19" s="1"/>
  <c r="G70" i="16"/>
  <c r="AE65" i="19"/>
  <c r="AK65" i="19" s="1"/>
  <c r="AM65" i="19" s="1"/>
  <c r="G89" i="16"/>
  <c r="I29" i="11"/>
  <c r="G29" i="10"/>
  <c r="G35" i="11"/>
  <c r="G121" i="16"/>
  <c r="H32" i="2"/>
  <c r="AI31" i="23"/>
  <c r="AN26" i="23"/>
  <c r="AF90" i="23"/>
  <c r="I94" i="23"/>
  <c r="U29" i="11"/>
  <c r="S35" i="11"/>
  <c r="AI39" i="27"/>
  <c r="AG44" i="27"/>
  <c r="AI44" i="27" s="1"/>
  <c r="AD87" i="24"/>
  <c r="AD98" i="24" s="1"/>
  <c r="AJ84" i="24"/>
  <c r="AL84" i="24" s="1"/>
  <c r="G65" i="16"/>
  <c r="I60" i="23"/>
  <c r="AK56" i="21"/>
  <c r="AC82" i="21"/>
  <c r="G97" i="16"/>
  <c r="AE73" i="19"/>
  <c r="AK73" i="19" s="1"/>
  <c r="AD16" i="2"/>
  <c r="AH38" i="19"/>
  <c r="AH85" i="19" s="1"/>
  <c r="AH111" i="19" s="1"/>
  <c r="AH121" i="19" s="1"/>
  <c r="H99" i="19"/>
  <c r="H108" i="19" s="1"/>
  <c r="AE97" i="19"/>
  <c r="J32" i="2" s="1"/>
  <c r="G90" i="16"/>
  <c r="AE66" i="19"/>
  <c r="AK66" i="19" s="1"/>
  <c r="AM66" i="19" s="1"/>
  <c r="G64" i="16"/>
  <c r="AE42" i="19"/>
  <c r="AK42" i="19" s="1"/>
  <c r="AM42" i="19" s="1"/>
  <c r="G77" i="16"/>
  <c r="AE53" i="19"/>
  <c r="AK53" i="19" s="1"/>
  <c r="AM53" i="19" s="1"/>
  <c r="G73" i="16"/>
  <c r="AB73" i="16" s="1"/>
  <c r="AH73" i="16" s="1"/>
  <c r="AJ73" i="16" s="1"/>
  <c r="AE49" i="19"/>
  <c r="AK49" i="19" s="1"/>
  <c r="AM49" i="19" s="1"/>
  <c r="H56" i="18"/>
  <c r="H101" i="18" s="1"/>
  <c r="H124" i="18" s="1"/>
  <c r="AH130" i="17"/>
  <c r="AJ130" i="17" s="1"/>
  <c r="AE132" i="17"/>
  <c r="AD41" i="15"/>
  <c r="AD47" i="15" s="1"/>
  <c r="AE50" i="16"/>
  <c r="AH56" i="15"/>
  <c r="AJ56" i="15" s="1"/>
  <c r="D38" i="15"/>
  <c r="I24" i="12"/>
  <c r="G27" i="12"/>
  <c r="G37" i="12" s="1"/>
  <c r="U23" i="11"/>
  <c r="S26" i="11"/>
  <c r="N42" i="5"/>
  <c r="W37" i="5"/>
  <c r="AK79" i="21"/>
  <c r="AI79" i="21"/>
  <c r="AF56" i="18"/>
  <c r="AF101" i="18" s="1"/>
  <c r="AF124" i="18" s="1"/>
  <c r="AD14" i="2"/>
  <c r="AE42" i="16"/>
  <c r="AD35" i="15"/>
  <c r="AD38" i="15" s="1"/>
  <c r="AJ66" i="25"/>
  <c r="AL66" i="25"/>
  <c r="G105" i="17"/>
  <c r="I87" i="24"/>
  <c r="I98" i="24" s="1"/>
  <c r="G132" i="17"/>
  <c r="G42" i="17"/>
  <c r="G60" i="17" s="1"/>
  <c r="F58" i="15"/>
  <c r="AD34" i="2"/>
  <c r="AD42" i="2" s="1"/>
  <c r="W35" i="11"/>
  <c r="W39" i="11" s="1"/>
  <c r="W42" i="11" s="1"/>
  <c r="AF51" i="23"/>
  <c r="AL51" i="23" s="1"/>
  <c r="AN51" i="23" s="1"/>
  <c r="G92" i="16"/>
  <c r="G82" i="16"/>
  <c r="AB82" i="16" s="1"/>
  <c r="AH82" i="16" s="1"/>
  <c r="AJ82" i="16" s="1"/>
  <c r="AE58" i="19"/>
  <c r="AK58" i="19" s="1"/>
  <c r="AL42" i="25"/>
  <c r="AJ46" i="25"/>
  <c r="I77" i="23"/>
  <c r="I84" i="23" s="1"/>
  <c r="P24" i="2"/>
  <c r="P34" i="2" s="1"/>
  <c r="P42" i="2" s="1"/>
  <c r="G113" i="16"/>
  <c r="AF68" i="23"/>
  <c r="AK106" i="20"/>
  <c r="AI106" i="20"/>
  <c r="G98" i="16"/>
  <c r="AB98" i="16" s="1"/>
  <c r="AH98" i="16" s="1"/>
  <c r="AJ98" i="16" s="1"/>
  <c r="AE74" i="19"/>
  <c r="AK74" i="19" s="1"/>
  <c r="AM74" i="19" s="1"/>
  <c r="V53" i="15"/>
  <c r="V56" i="15" s="1"/>
  <c r="D56" i="15"/>
  <c r="J36" i="15"/>
  <c r="X36" i="15" s="1"/>
  <c r="AH36" i="15" s="1"/>
  <c r="AJ36" i="15" s="1"/>
  <c r="AK28" i="19"/>
  <c r="AM28" i="19" s="1"/>
  <c r="AI30" i="22"/>
  <c r="AG55" i="22"/>
  <c r="H14" i="2"/>
  <c r="H22" i="15"/>
  <c r="AE17" i="19"/>
  <c r="M32" i="10"/>
  <c r="G32" i="7"/>
  <c r="R29" i="2"/>
  <c r="AL72" i="23"/>
  <c r="AN72" i="23" s="1"/>
  <c r="I21" i="11"/>
  <c r="G26" i="11"/>
  <c r="AH35" i="26"/>
  <c r="AJ31" i="26"/>
  <c r="J35" i="15"/>
  <c r="X35" i="15" s="1"/>
  <c r="AK27" i="19"/>
  <c r="AM27" i="19" s="1"/>
  <c r="U23" i="14"/>
  <c r="S27" i="14"/>
  <c r="S37" i="14" s="1"/>
  <c r="G23" i="13"/>
  <c r="AK85" i="20"/>
  <c r="AC109" i="20"/>
  <c r="AE71" i="19"/>
  <c r="AK71" i="19" s="1"/>
  <c r="AM71" i="19" s="1"/>
  <c r="G23" i="10"/>
  <c r="K23" i="10" s="1"/>
  <c r="M23" i="10" s="1"/>
  <c r="L32" i="6"/>
  <c r="L34" i="6" s="1"/>
  <c r="G21" i="10"/>
  <c r="H38" i="20"/>
  <c r="H85" i="20" s="1"/>
  <c r="H109" i="20" s="1"/>
  <c r="H119" i="20" s="1"/>
  <c r="AI38" i="20"/>
  <c r="AK38" i="20" s="1"/>
  <c r="G42" i="16"/>
  <c r="H38" i="15"/>
  <c r="V34" i="15"/>
  <c r="F34" i="6"/>
  <c r="F39" i="6" s="1"/>
  <c r="AK26" i="19"/>
  <c r="AM26" i="19" s="1"/>
  <c r="H38" i="19"/>
  <c r="AE79" i="19"/>
  <c r="H82" i="21"/>
  <c r="H92" i="21" s="1"/>
  <c r="H81" i="19"/>
  <c r="E109" i="17"/>
  <c r="E135" i="17" s="1"/>
  <c r="AL70" i="23"/>
  <c r="AN70" i="23" s="1"/>
  <c r="R26" i="2"/>
  <c r="E105" i="16"/>
  <c r="E60" i="16"/>
  <c r="H47" i="15"/>
  <c r="V44" i="15"/>
  <c r="V47" i="15" s="1"/>
  <c r="P51" i="2"/>
  <c r="V48" i="2"/>
  <c r="E123" i="16"/>
  <c r="E132" i="16" s="1"/>
  <c r="G64" i="23"/>
  <c r="G87" i="23" s="1"/>
  <c r="G98" i="23" s="1"/>
  <c r="AK34" i="19"/>
  <c r="AE36" i="19"/>
  <c r="J16" i="2" s="1"/>
  <c r="J44" i="15"/>
  <c r="AE29" i="19"/>
  <c r="J15" i="2" s="1"/>
  <c r="AK21" i="19"/>
  <c r="J29" i="15"/>
  <c r="O39" i="10"/>
  <c r="Y135" i="16"/>
  <c r="J20" i="33"/>
  <c r="K22" i="10" l="1"/>
  <c r="M22" i="10" s="1"/>
  <c r="G22" i="7"/>
  <c r="AK106" i="19"/>
  <c r="AM106" i="19" s="1"/>
  <c r="J41" i="2"/>
  <c r="G60" i="16"/>
  <c r="AK114" i="19"/>
  <c r="AM114" i="19" s="1"/>
  <c r="AH41" i="15"/>
  <c r="AJ41" i="15" s="1"/>
  <c r="G33" i="13"/>
  <c r="V49" i="2"/>
  <c r="G139" i="16" s="1"/>
  <c r="AE117" i="19"/>
  <c r="AK117" i="19" s="1"/>
  <c r="AM117" i="19" s="1"/>
  <c r="H34" i="2"/>
  <c r="H42" i="2" s="1"/>
  <c r="G109" i="17"/>
  <c r="G135" i="17" s="1"/>
  <c r="W32" i="5"/>
  <c r="Y32" i="5" s="1"/>
  <c r="Y29" i="5"/>
  <c r="J25" i="2"/>
  <c r="AK90" i="19"/>
  <c r="AM90" i="19" s="1"/>
  <c r="Y32" i="6"/>
  <c r="W34" i="6"/>
  <c r="AJ79" i="25"/>
  <c r="AL79" i="25"/>
  <c r="S39" i="11"/>
  <c r="G123" i="16"/>
  <c r="G132" i="16" s="1"/>
  <c r="G39" i="11"/>
  <c r="K29" i="10"/>
  <c r="G35" i="10"/>
  <c r="AL90" i="23"/>
  <c r="AN90" i="23" s="1"/>
  <c r="R48" i="2"/>
  <c r="AF94" i="23"/>
  <c r="AL94" i="23" s="1"/>
  <c r="AN94" i="23" s="1"/>
  <c r="I64" i="23"/>
  <c r="I87" i="23" s="1"/>
  <c r="I98" i="23" s="1"/>
  <c r="P18" i="2"/>
  <c r="M30" i="13"/>
  <c r="K33" i="13"/>
  <c r="AK82" i="21"/>
  <c r="AI82" i="21"/>
  <c r="AI92" i="21" s="1"/>
  <c r="AC92" i="21"/>
  <c r="AK92" i="21" s="1"/>
  <c r="AH35" i="15"/>
  <c r="AJ35" i="15" s="1"/>
  <c r="AK97" i="19"/>
  <c r="AE99" i="19"/>
  <c r="AE108" i="19" s="1"/>
  <c r="G105" i="16"/>
  <c r="D58" i="15"/>
  <c r="K21" i="10"/>
  <c r="G26" i="10"/>
  <c r="Y37" i="5"/>
  <c r="AH47" i="26"/>
  <c r="AJ47" i="26" s="1"/>
  <c r="AJ35" i="26"/>
  <c r="J38" i="15"/>
  <c r="R24" i="2"/>
  <c r="R34" i="2" s="1"/>
  <c r="R42" i="2" s="1"/>
  <c r="AF77" i="23"/>
  <c r="AF84" i="23" s="1"/>
  <c r="AL68" i="23"/>
  <c r="AG66" i="22"/>
  <c r="AI55" i="22"/>
  <c r="AC119" i="20"/>
  <c r="AC121" i="20" s="1"/>
  <c r="AI109" i="20"/>
  <c r="AI85" i="20"/>
  <c r="G21" i="7"/>
  <c r="AK79" i="19"/>
  <c r="AE81" i="19"/>
  <c r="J18" i="2" s="1"/>
  <c r="H85" i="19"/>
  <c r="H111" i="19" s="1"/>
  <c r="H121" i="19" s="1"/>
  <c r="H18" i="2"/>
  <c r="E109" i="16"/>
  <c r="E135" i="16" s="1"/>
  <c r="AM58" i="19"/>
  <c r="AK36" i="19"/>
  <c r="AM36" i="19" s="1"/>
  <c r="J47" i="15"/>
  <c r="X44" i="15"/>
  <c r="AK29" i="19"/>
  <c r="AM29" i="19" s="1"/>
  <c r="AM21" i="19"/>
  <c r="AB138" i="16"/>
  <c r="G109" i="16" l="1"/>
  <c r="G135" i="16" s="1"/>
  <c r="W42" i="5"/>
  <c r="Y42" i="5" s="1"/>
  <c r="K35" i="10"/>
  <c r="M29" i="10"/>
  <c r="G39" i="10"/>
  <c r="K39" i="10" s="1"/>
  <c r="X48" i="2"/>
  <c r="R51" i="2"/>
  <c r="AK99" i="19"/>
  <c r="AM97" i="19"/>
  <c r="K26" i="10"/>
  <c r="M21" i="10"/>
  <c r="AI66" i="22"/>
  <c r="AG76" i="22"/>
  <c r="AI76" i="22" s="1"/>
  <c r="AN68" i="23"/>
  <c r="AL77" i="23"/>
  <c r="AK109" i="20"/>
  <c r="AI119" i="20"/>
  <c r="AM79" i="19"/>
  <c r="AK81" i="19"/>
  <c r="AM81" i="19" s="1"/>
  <c r="AH44" i="15"/>
  <c r="AJ44" i="15" s="1"/>
  <c r="X47" i="15"/>
  <c r="AH47" i="15" s="1"/>
  <c r="AJ47" i="15" s="1"/>
  <c r="AH138" i="16"/>
  <c r="AJ138" i="16" s="1"/>
  <c r="AK108" i="19" l="1"/>
  <c r="AM108" i="19" s="1"/>
  <c r="AM99" i="19"/>
  <c r="AN77" i="23"/>
  <c r="AL84" i="23"/>
  <c r="AN84" i="23" s="1"/>
  <c r="AI121" i="20"/>
  <c r="AK121" i="20" s="1"/>
  <c r="AK119" i="20"/>
  <c r="N50" i="3"/>
  <c r="N49" i="3"/>
  <c r="N38" i="3"/>
  <c r="N20" i="3"/>
  <c r="N18" i="3"/>
  <c r="N16" i="3"/>
  <c r="N15" i="3"/>
  <c r="N19" i="3" l="1"/>
  <c r="T19" i="3" s="1"/>
  <c r="G24" i="8" s="1"/>
  <c r="X40" i="2"/>
  <c r="AI40" i="2" s="1"/>
  <c r="N41" i="3"/>
  <c r="T41" i="3" s="1"/>
  <c r="N51" i="3"/>
  <c r="N42" i="2"/>
  <c r="N21" i="3" l="1"/>
  <c r="AD19" i="3"/>
  <c r="AF19" i="3" s="1"/>
  <c r="N43" i="3"/>
  <c r="AG40" i="2"/>
  <c r="G32" i="8"/>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T25" i="3"/>
  <c r="AD18" i="3"/>
  <c r="AF18" i="3" s="1"/>
  <c r="G23" i="8"/>
  <c r="AG37" i="2"/>
  <c r="AD20" i="3"/>
  <c r="AF20" i="3" s="1"/>
  <c r="G25" i="8"/>
  <c r="F17" i="3"/>
  <c r="T17" i="3" s="1"/>
  <c r="AD37" i="3"/>
  <c r="AF37" i="3" s="1"/>
  <c r="G30" i="8"/>
  <c r="X24" i="2"/>
  <c r="AG19" i="2"/>
  <c r="AG38" i="2"/>
  <c r="X25" i="2"/>
  <c r="AI25" i="2" s="1"/>
  <c r="AG17" i="2"/>
  <c r="X16" i="2"/>
  <c r="AI16" i="2" s="1"/>
  <c r="AI24" i="2" l="1"/>
  <c r="AD25" i="3"/>
  <c r="AF25" i="3" s="1"/>
  <c r="G22" i="8"/>
  <c r="I22" i="8" s="1"/>
  <c r="AD17" i="3"/>
  <c r="AF17" i="3" s="1"/>
  <c r="AG24" i="2"/>
  <c r="AG25" i="2"/>
  <c r="AG16" i="2"/>
  <c r="AE132" i="16" l="1"/>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Z36" i="43" s="1"/>
  <c r="X26" i="2" l="1"/>
  <c r="X34" i="2" s="1"/>
  <c r="AI107" i="18"/>
  <c r="AK107" i="18" s="1"/>
  <c r="AI34" i="2" l="1"/>
  <c r="X42" i="2"/>
  <c r="F34" i="2"/>
  <c r="F42" i="2" s="1"/>
  <c r="F45" i="2" s="1"/>
  <c r="F27" i="3"/>
  <c r="AI124" i="18"/>
  <c r="AK124" i="18" s="1"/>
  <c r="AI26" i="2"/>
  <c r="AG26" i="2"/>
  <c r="AG34" i="2" s="1"/>
  <c r="AG42" i="2" s="1"/>
  <c r="G29" i="7"/>
  <c r="AI115" i="18"/>
  <c r="K34" i="7" l="1"/>
  <c r="AI42" i="2"/>
  <c r="F35" i="3"/>
  <c r="T27" i="3"/>
  <c r="AK115" i="18"/>
  <c r="AI121" i="18"/>
  <c r="AK121" i="18" s="1"/>
  <c r="G34" i="7"/>
  <c r="F43" i="3" l="1"/>
  <c r="F46" i="3" s="1"/>
  <c r="AD27" i="3"/>
  <c r="T35" i="3"/>
  <c r="T43" i="3" s="1"/>
  <c r="G29" i="8" l="1"/>
  <c r="T46" i="3"/>
  <c r="AF27" i="3"/>
  <c r="AD35" i="3"/>
  <c r="AD43" i="3" s="1"/>
  <c r="AF43" i="3" s="1"/>
  <c r="AD46" i="3" l="1"/>
  <c r="AF46" i="3" s="1"/>
  <c r="G34" i="8"/>
  <c r="K34" i="8"/>
  <c r="AF35" i="3"/>
  <c r="G37" i="8" l="1"/>
  <c r="K37" i="8"/>
  <c r="D27" i="18" l="1"/>
  <c r="V14" i="2" s="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F60" i="23" s="1"/>
  <c r="R18" i="2" s="1"/>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AI13" i="18"/>
  <c r="AK13" i="18" s="1"/>
  <c r="F121" i="20"/>
  <c r="H13" i="20" s="1"/>
  <c r="H57" i="3" s="1"/>
  <c r="D13" i="19"/>
  <c r="J57" i="2" s="1"/>
  <c r="D94" i="21"/>
  <c r="F13" i="21" s="1"/>
  <c r="AC13" i="21"/>
  <c r="AI13" i="21" s="1"/>
  <c r="AK13" i="21" s="1"/>
  <c r="D123" i="19" l="1"/>
  <c r="F13" i="19" s="1"/>
  <c r="H47" i="37"/>
  <c r="J59" i="3"/>
  <c r="F94" i="21"/>
  <c r="H13" i="21" s="1"/>
  <c r="K42" i="11"/>
  <c r="AC94" i="21"/>
  <c r="G42" i="11"/>
  <c r="G41" i="10"/>
  <c r="S42" i="11"/>
  <c r="AE13" i="19"/>
  <c r="J47" i="37" l="1"/>
  <c r="L47" i="37" s="1"/>
  <c r="K41" i="10"/>
  <c r="M41" i="10" s="1"/>
  <c r="AI94" i="21"/>
  <c r="AK94" i="21" s="1"/>
  <c r="H94" i="21"/>
  <c r="H121" i="20"/>
  <c r="G42" i="10"/>
  <c r="AM13" i="19"/>
  <c r="AK13" i="19"/>
  <c r="K42" i="10" l="1"/>
  <c r="O42" i="10"/>
  <c r="N47" i="37"/>
  <c r="J94" i="21"/>
  <c r="K34" i="31"/>
  <c r="J121" i="20" l="1"/>
  <c r="P47" i="37"/>
  <c r="L94" i="21"/>
  <c r="K39" i="30"/>
  <c r="L121" i="20" l="1"/>
  <c r="N94" i="21"/>
  <c r="G45" i="31"/>
  <c r="N121" i="20" l="1"/>
  <c r="R47" i="37"/>
  <c r="P94" i="21"/>
  <c r="K97" i="30"/>
  <c r="T47" i="37" l="1"/>
  <c r="P121" i="20"/>
  <c r="R94" i="21"/>
  <c r="K153" i="30"/>
  <c r="V47" i="37" l="1"/>
  <c r="X47" i="37" s="1"/>
  <c r="R121" i="20"/>
  <c r="T94" i="21"/>
  <c r="K59" i="30"/>
  <c r="T121" i="20" l="1"/>
  <c r="V94" i="21"/>
  <c r="K40" i="31"/>
  <c r="V121" i="20" l="1"/>
  <c r="X94" i="21"/>
  <c r="X121" i="20" l="1"/>
  <c r="Z94" i="21"/>
  <c r="N24" i="35"/>
  <c r="R24" i="35" s="1"/>
  <c r="Z121" i="20" l="1"/>
  <c r="B78" i="22"/>
  <c r="D13" i="22" s="1"/>
  <c r="C16" i="17"/>
  <c r="AB16" i="17" s="1"/>
  <c r="D78" i="22" l="1"/>
  <c r="F13" i="22" s="1"/>
  <c r="L57" i="2" s="1"/>
  <c r="N59" i="2" l="1"/>
  <c r="N57" i="3"/>
  <c r="N59" i="3" s="1"/>
  <c r="K40" i="12"/>
  <c r="G40" i="12"/>
  <c r="F78" i="22" l="1"/>
  <c r="H59" i="3" l="1"/>
  <c r="K98" i="30"/>
  <c r="H78" i="22" l="1"/>
  <c r="K118" i="30" l="1"/>
  <c r="J78" i="22" l="1"/>
  <c r="K44" i="30" l="1"/>
  <c r="L78" i="22" l="1"/>
  <c r="N15" i="35"/>
  <c r="R15" i="35" s="1"/>
  <c r="L29" i="32" l="1"/>
  <c r="N78" i="22" l="1"/>
  <c r="N20" i="35"/>
  <c r="N19" i="35"/>
  <c r="K151" i="30"/>
  <c r="P78" i="22" l="1"/>
  <c r="K109" i="30"/>
  <c r="K111" i="30"/>
  <c r="E155" i="30" l="1"/>
  <c r="P30" i="35"/>
  <c r="I155" i="30"/>
  <c r="J45" i="32"/>
  <c r="N17" i="35"/>
  <c r="R17" i="35" s="1"/>
  <c r="H45" i="32"/>
  <c r="H48" i="32" s="1"/>
  <c r="K67" i="34"/>
  <c r="I42" i="31"/>
  <c r="F30" i="35"/>
  <c r="F45" i="32"/>
  <c r="F48" i="32" s="1"/>
  <c r="G155" i="30"/>
  <c r="E42" i="31"/>
  <c r="E45" i="31" s="1"/>
  <c r="J30" i="35"/>
  <c r="AB14" i="26"/>
  <c r="C49" i="26"/>
  <c r="E14" i="26" s="1"/>
  <c r="K28" i="30"/>
  <c r="C25" i="8"/>
  <c r="I25" i="8" s="1"/>
  <c r="K121" i="30"/>
  <c r="E81" i="25"/>
  <c r="G13" i="25" s="1"/>
  <c r="AD13" i="25"/>
  <c r="AD81" i="25" s="1"/>
  <c r="K20" i="31"/>
  <c r="K52" i="30"/>
  <c r="L44" i="32"/>
  <c r="K22" i="30"/>
  <c r="K69" i="30"/>
  <c r="K21" i="31"/>
  <c r="K150" i="30"/>
  <c r="N28" i="35"/>
  <c r="R28" i="35" s="1"/>
  <c r="K84" i="30"/>
  <c r="K65" i="30"/>
  <c r="K17" i="30"/>
  <c r="K133" i="30"/>
  <c r="N27" i="35"/>
  <c r="R27" i="35" s="1"/>
  <c r="D30" i="35"/>
  <c r="K128" i="30"/>
  <c r="K82" i="30"/>
  <c r="K18" i="30"/>
  <c r="K19" i="31"/>
  <c r="K129" i="30"/>
  <c r="L30" i="32"/>
  <c r="M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K63" i="30"/>
  <c r="L31" i="32"/>
  <c r="K26" i="13"/>
  <c r="M26" i="13" s="1"/>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1" i="25"/>
  <c r="T41" i="6"/>
  <c r="T42" i="6" s="1"/>
  <c r="AD46" i="29"/>
  <c r="K72" i="30"/>
  <c r="AE49" i="26"/>
  <c r="T44" i="5"/>
  <c r="T45" i="5" s="1"/>
  <c r="K131" i="30"/>
  <c r="K16" i="30"/>
  <c r="K50" i="30"/>
  <c r="K152" i="30"/>
  <c r="C21" i="8"/>
  <c r="I21" i="8" s="1"/>
  <c r="C27" i="12"/>
  <c r="K55" i="30"/>
  <c r="K48" i="30"/>
  <c r="K41" i="30"/>
  <c r="K87" i="30"/>
  <c r="E100" i="24"/>
  <c r="G13" i="24" s="1"/>
  <c r="E13" i="23"/>
  <c r="R57" i="2" s="1"/>
  <c r="B46" i="29"/>
  <c r="D14" i="29" s="1"/>
  <c r="AG14" i="29"/>
  <c r="AI14" i="29" s="1"/>
  <c r="C26" i="11"/>
  <c r="K43" i="30"/>
  <c r="K56" i="30"/>
  <c r="C33" i="12"/>
  <c r="K19" i="30"/>
  <c r="K22" i="31"/>
  <c r="K78" i="30"/>
  <c r="K122" i="30"/>
  <c r="M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K155" i="30" l="1"/>
  <c r="M67" i="34"/>
  <c r="AB58" i="15"/>
  <c r="K42" i="31"/>
  <c r="D44" i="5"/>
  <c r="D45" i="5" s="1"/>
  <c r="AB49" i="26"/>
  <c r="AH49" i="26" s="1"/>
  <c r="AJ49" i="26" s="1"/>
  <c r="R78" i="22"/>
  <c r="G81" i="25"/>
  <c r="I13" i="25" s="1"/>
  <c r="G100"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K39" i="13" s="1"/>
  <c r="M39" i="13" s="1"/>
  <c r="M33" i="13"/>
  <c r="R30" i="35"/>
  <c r="U35" i="11"/>
  <c r="E157" i="30"/>
  <c r="U26" i="11"/>
  <c r="I26" i="11"/>
  <c r="C37" i="12"/>
  <c r="C40" i="12" s="1"/>
  <c r="AL81"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I49" i="7" s="1"/>
  <c r="O40" i="14"/>
  <c r="I37" i="12"/>
  <c r="I40" i="12" s="1"/>
  <c r="N44" i="5"/>
  <c r="N45" i="5" s="1"/>
  <c r="I39" i="11"/>
  <c r="I42" i="11" s="1"/>
  <c r="I81" i="25"/>
  <c r="I100" i="24"/>
  <c r="E49" i="26"/>
  <c r="G14" i="26" s="1"/>
  <c r="B44" i="5" s="1"/>
  <c r="D46" i="27"/>
  <c r="F14" i="27" s="1"/>
  <c r="F44" i="5" s="1"/>
  <c r="D46" i="29"/>
  <c r="F14" i="29" s="1"/>
  <c r="F41" i="6" s="1"/>
  <c r="D46" i="28"/>
  <c r="F14" i="28" s="1"/>
  <c r="B41" i="6" s="1"/>
  <c r="K103" i="30"/>
  <c r="AL13" i="24"/>
  <c r="C37" i="13"/>
  <c r="C40" i="13" s="1"/>
  <c r="K45" i="31"/>
  <c r="AJ81" i="25"/>
  <c r="AL13" i="23"/>
  <c r="AN13" i="23" s="1"/>
  <c r="L48" i="32"/>
  <c r="U39" i="11"/>
  <c r="U42" i="11" s="1"/>
  <c r="N41" i="6"/>
  <c r="W41" i="6" s="1"/>
  <c r="I37" i="8"/>
  <c r="C37" i="8"/>
  <c r="AH16" i="16"/>
  <c r="AJ16" i="16" s="1"/>
  <c r="I34" i="7"/>
  <c r="M39" i="10"/>
  <c r="M42" i="10" s="1"/>
  <c r="C34" i="7"/>
  <c r="C39" i="10"/>
  <c r="C42" i="10" s="1"/>
  <c r="C26" i="7"/>
  <c r="K157" i="30" l="1"/>
  <c r="T78" i="22"/>
  <c r="K100" i="24"/>
  <c r="K81" i="25"/>
  <c r="W44" i="5"/>
  <c r="Y44" i="5" s="1"/>
  <c r="N42" i="6"/>
  <c r="C37" i="7"/>
  <c r="Y41" i="6"/>
  <c r="W42" i="6"/>
  <c r="Y42" i="6" s="1"/>
  <c r="V22" i="15"/>
  <c r="M81" i="25" l="1"/>
  <c r="M100" i="24"/>
  <c r="W45" i="5"/>
  <c r="Y45" i="5" s="1"/>
  <c r="F46" i="29"/>
  <c r="F46" i="28"/>
  <c r="F46" i="27"/>
  <c r="G49" i="26"/>
  <c r="H25" i="15"/>
  <c r="H58" i="15" s="1"/>
  <c r="V78" i="22" l="1"/>
  <c r="O81" i="25"/>
  <c r="I49" i="26"/>
  <c r="Q81" i="25" l="1"/>
  <c r="K49" i="26"/>
  <c r="H46" i="29"/>
  <c r="H46" i="28"/>
  <c r="H46" i="27"/>
  <c r="X78" i="22" l="1"/>
  <c r="S81" i="25"/>
  <c r="M49" i="26"/>
  <c r="U81" i="25" l="1"/>
  <c r="O49" i="26"/>
  <c r="J46" i="28"/>
  <c r="J46" i="29"/>
  <c r="J46" i="27"/>
  <c r="W81" i="25" l="1"/>
  <c r="Q49" i="26"/>
  <c r="L46" i="27"/>
  <c r="V37" i="2"/>
  <c r="L41" i="3"/>
  <c r="R41" i="3" s="1"/>
  <c r="Y81" i="25" l="1"/>
  <c r="S49" i="26"/>
  <c r="L46" i="28"/>
  <c r="L46" i="29"/>
  <c r="AB129" i="17"/>
  <c r="AH129" i="17" s="1"/>
  <c r="AJ129" i="17" s="1"/>
  <c r="V40" i="2"/>
  <c r="V42" i="2" s="1"/>
  <c r="AB126" i="16"/>
  <c r="AH126" i="16" s="1"/>
  <c r="AJ126" i="16" s="1"/>
  <c r="L38" i="3"/>
  <c r="L43" i="3" s="1"/>
  <c r="AB126" i="17"/>
  <c r="AB129" i="16"/>
  <c r="AH129" i="16" s="1"/>
  <c r="AJ129" i="16" s="1"/>
  <c r="L42" i="2"/>
  <c r="AA81" i="25" l="1"/>
  <c r="U49" i="26"/>
  <c r="N46" i="27"/>
  <c r="R38" i="3"/>
  <c r="R43" i="3" s="1"/>
  <c r="AB132" i="17"/>
  <c r="AH126" i="17"/>
  <c r="AB132" i="16"/>
  <c r="W49" i="26" l="1"/>
  <c r="N46" i="28"/>
  <c r="N46" i="29"/>
  <c r="AH132" i="16"/>
  <c r="AJ132" i="16" s="1"/>
  <c r="AH132" i="17"/>
  <c r="AJ132" i="17" s="1"/>
  <c r="AJ126" i="17"/>
  <c r="Y49" i="26" l="1"/>
  <c r="P46" i="27"/>
  <c r="P46" i="29" l="1"/>
  <c r="P46" i="28"/>
  <c r="R46" i="27"/>
  <c r="R46" i="28" l="1"/>
  <c r="R46" i="29"/>
  <c r="T46" i="27"/>
  <c r="T46" i="29" l="1"/>
  <c r="T46" i="28"/>
  <c r="V46" i="27"/>
  <c r="F45" i="5" l="1"/>
  <c r="X46" i="27"/>
  <c r="B45" i="5"/>
  <c r="V46" i="29" l="1"/>
  <c r="V46" i="28"/>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42" i="43" l="1"/>
  <c r="Z44" i="43" s="1"/>
  <c r="D36" i="43"/>
  <c r="D42" i="43" s="1"/>
  <c r="D44" i="43" s="1"/>
  <c r="F12" i="43" s="1"/>
  <c r="F44" i="43" l="1"/>
  <c r="G38" i="9"/>
  <c r="G39" i="9"/>
  <c r="G29" i="9"/>
  <c r="I29" i="9" s="1"/>
  <c r="G28" i="9"/>
  <c r="I28" i="9" s="1"/>
  <c r="AE139" i="17"/>
  <c r="C138" i="17"/>
  <c r="V138" i="18"/>
  <c r="V142" i="18" s="1"/>
  <c r="N138" i="18"/>
  <c r="N142" i="18" s="1"/>
  <c r="AI130" i="18"/>
  <c r="AK130" i="18" s="1"/>
  <c r="AI133" i="18"/>
  <c r="AK133" i="18" s="1"/>
  <c r="L138" i="18"/>
  <c r="L142" i="18" s="1"/>
  <c r="C139" i="17"/>
  <c r="AI134" i="18"/>
  <c r="AK134" i="18" s="1"/>
  <c r="AA49" i="3"/>
  <c r="AI129" i="18"/>
  <c r="AK129" i="18" s="1"/>
  <c r="I38" i="9" l="1"/>
  <c r="G42" i="7"/>
  <c r="I39" i="9"/>
  <c r="H44" i="43"/>
  <c r="G30" i="9"/>
  <c r="I30" i="9" s="1"/>
  <c r="J138" i="18"/>
  <c r="J142" i="18" s="1"/>
  <c r="I141" i="17"/>
  <c r="I145" i="17" s="1"/>
  <c r="V50" i="2"/>
  <c r="G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I42" i="9" l="1"/>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X49" i="2"/>
  <c r="M142" i="16" s="1"/>
  <c r="F49" i="3"/>
  <c r="L44" i="43" l="1"/>
  <c r="N44" i="43" s="1"/>
  <c r="F144" i="18"/>
  <c r="H13" i="18" s="1"/>
  <c r="D57" i="2" s="1"/>
  <c r="Y142" i="16"/>
  <c r="Y146" i="16" s="1"/>
  <c r="AF144" i="18"/>
  <c r="O142" i="16"/>
  <c r="O146" i="16" s="1"/>
  <c r="K142" i="16"/>
  <c r="K146" i="16" s="1"/>
  <c r="G147" i="17"/>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F59" i="2" l="1"/>
  <c r="F57" i="3"/>
  <c r="AG51" i="2"/>
  <c r="AI51" i="2" s="1"/>
  <c r="E142" i="16"/>
  <c r="E146" i="16" s="1"/>
  <c r="AB139" i="16"/>
  <c r="AB142" i="16" s="1"/>
  <c r="P44" i="43"/>
  <c r="AH140" i="16"/>
  <c r="AJ140" i="16" s="1"/>
  <c r="AI144" i="18"/>
  <c r="AK144" i="18" s="1"/>
  <c r="I147" i="17"/>
  <c r="H144" i="18"/>
  <c r="AB147" i="17"/>
  <c r="AH147" i="17" s="1"/>
  <c r="AJ147" i="17" s="1"/>
  <c r="AD49" i="3"/>
  <c r="AD51" i="3" s="1"/>
  <c r="G40" i="8"/>
  <c r="T51" i="3"/>
  <c r="T55" i="3" s="1"/>
  <c r="T57" i="3" l="1"/>
  <c r="F59" i="3"/>
  <c r="AH139" i="16"/>
  <c r="AH142" i="16" s="1"/>
  <c r="AJ142" i="16" s="1"/>
  <c r="R44" i="43"/>
  <c r="K147" i="17"/>
  <c r="J144" i="18"/>
  <c r="G42" i="8"/>
  <c r="G46" i="8" s="1"/>
  <c r="AF49" i="3"/>
  <c r="T59" i="3" l="1"/>
  <c r="AD57" i="3"/>
  <c r="AF57" i="3" s="1"/>
  <c r="G48" i="8"/>
  <c r="I48" i="8" s="1"/>
  <c r="AJ139" i="16"/>
  <c r="T44" i="43"/>
  <c r="M147" i="17"/>
  <c r="L144" i="18"/>
  <c r="AF51" i="3"/>
  <c r="AD55" i="3"/>
  <c r="AF55" i="3" s="1"/>
  <c r="G49" i="8" l="1"/>
  <c r="V44" i="43"/>
  <c r="O147" i="17"/>
  <c r="AD59" i="3"/>
  <c r="AF59" i="3" s="1"/>
  <c r="X44" i="43" l="1"/>
  <c r="Q147" i="17"/>
  <c r="N144" i="18"/>
  <c r="S147" i="17" l="1"/>
  <c r="G31" i="9"/>
  <c r="U147" i="17" l="1"/>
  <c r="P144" i="18"/>
  <c r="G41" i="7"/>
  <c r="G43" i="9"/>
  <c r="G47" i="9" s="1"/>
  <c r="G50" i="9" s="1"/>
  <c r="W147" i="17" l="1"/>
  <c r="G43" i="7"/>
  <c r="R19" i="6"/>
  <c r="Y147" i="17" l="1"/>
  <c r="R144" i="18"/>
  <c r="R21" i="5"/>
  <c r="R37" i="5"/>
  <c r="R26" i="6"/>
  <c r="R29" i="6" s="1"/>
  <c r="R34" i="6"/>
  <c r="Y51" i="3"/>
  <c r="Y21" i="3"/>
  <c r="Y43" i="3"/>
  <c r="R32" i="5" l="1"/>
  <c r="R42" i="5" s="1"/>
  <c r="R45" i="5" s="1"/>
  <c r="R39" i="6"/>
  <c r="R42" i="6" s="1"/>
  <c r="Y46" i="3"/>
  <c r="Y55" i="3" l="1"/>
  <c r="T144" i="18"/>
  <c r="O60" i="24"/>
  <c r="O64" i="24" s="1"/>
  <c r="O87" i="24" s="1"/>
  <c r="O98" i="24" s="1"/>
  <c r="O100" i="24" s="1"/>
  <c r="Y59" i="3" l="1"/>
  <c r="Q100" i="24"/>
  <c r="V144" i="18" l="1"/>
  <c r="O98" i="23"/>
  <c r="M146" i="16"/>
  <c r="X144" i="18" l="1"/>
  <c r="S21" i="24"/>
  <c r="S31" i="24" s="1"/>
  <c r="Q42" i="16" l="1"/>
  <c r="Q60" i="16" s="1"/>
  <c r="S21" i="23"/>
  <c r="D57" i="3" l="1"/>
  <c r="D59" i="2"/>
  <c r="Z144" i="18"/>
  <c r="S31" i="23"/>
  <c r="V29" i="15"/>
  <c r="V38" i="15" s="1"/>
  <c r="V58" i="15" s="1"/>
  <c r="P38" i="15"/>
  <c r="P58" i="15" s="1"/>
  <c r="D59" i="3" l="1"/>
  <c r="R57" i="3"/>
  <c r="R59" i="3" s="1"/>
  <c r="I31" i="9" l="1"/>
  <c r="E41" i="7"/>
  <c r="C40" i="8"/>
  <c r="I40" i="8" s="1"/>
  <c r="E40" i="8"/>
  <c r="K43" i="9"/>
  <c r="S60" i="24"/>
  <c r="S64" i="24" s="1"/>
  <c r="S87" i="24" s="1"/>
  <c r="S98" i="24" s="1"/>
  <c r="S100" i="24" s="1"/>
  <c r="C41" i="8"/>
  <c r="I41" i="8" s="1"/>
  <c r="C43" i="9"/>
  <c r="C41" i="7"/>
  <c r="I41" i="7" s="1"/>
  <c r="C42" i="7"/>
  <c r="I42" i="7" s="1"/>
  <c r="K31" i="9"/>
  <c r="E43" i="9"/>
  <c r="E42" i="7"/>
  <c r="E41" i="8"/>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7" i="23" s="1"/>
  <c r="S98" i="23" s="1"/>
  <c r="Q105" i="16"/>
  <c r="Q109" i="16" s="1"/>
  <c r="Q135" i="16" s="1"/>
  <c r="Q146" i="16" s="1"/>
  <c r="AB59" i="2" l="1"/>
  <c r="U60" i="24" l="1"/>
  <c r="U64" i="24" s="1"/>
  <c r="U87" i="24" s="1"/>
  <c r="U98" i="24" s="1"/>
  <c r="U100" i="24" s="1"/>
  <c r="W100" i="24" l="1"/>
  <c r="U60" i="23"/>
  <c r="S105" i="16" l="1"/>
  <c r="S109" i="16" s="1"/>
  <c r="S135" i="16" s="1"/>
  <c r="S146" i="16" s="1"/>
  <c r="U64" i="23"/>
  <c r="U87" i="23" s="1"/>
  <c r="U98" i="23" s="1"/>
  <c r="AJ59" i="24" l="1"/>
  <c r="AI59" i="23"/>
  <c r="AI60" i="23" s="1"/>
  <c r="AJ60" i="24" l="1"/>
  <c r="AJ64" i="24" s="1"/>
  <c r="AL59" i="24"/>
  <c r="AE103" i="16"/>
  <c r="Y60" i="24"/>
  <c r="Y64" i="24" s="1"/>
  <c r="Y87" i="24" s="1"/>
  <c r="Y98" i="24" s="1"/>
  <c r="Y100" i="24" s="1"/>
  <c r="AA100" i="24" l="1"/>
  <c r="AL60" i="24"/>
  <c r="G27" i="14"/>
  <c r="G37" i="14" s="1"/>
  <c r="I37" i="14"/>
  <c r="K27" i="14"/>
  <c r="K37" i="14" s="1"/>
  <c r="K40" i="14" s="1"/>
  <c r="AG87" i="24"/>
  <c r="AL64" i="24"/>
  <c r="Y60" i="23"/>
  <c r="AD18" i="2"/>
  <c r="AD20" i="2" s="1"/>
  <c r="AD45" i="2" s="1"/>
  <c r="AD55" i="2" s="1"/>
  <c r="AD59" i="2" s="1"/>
  <c r="AI64" i="23"/>
  <c r="AI87" i="23" s="1"/>
  <c r="AI98" i="23" s="1"/>
  <c r="AE105" i="16"/>
  <c r="X18" i="2" l="1"/>
  <c r="AE109" i="16"/>
  <c r="AE135" i="16" s="1"/>
  <c r="AE146" i="16" s="1"/>
  <c r="AE148" i="16" s="1"/>
  <c r="AL59" i="23"/>
  <c r="AN59" i="23" s="1"/>
  <c r="W105" i="16"/>
  <c r="W109" i="16" s="1"/>
  <c r="W135" i="16" s="1"/>
  <c r="W146" i="16" s="1"/>
  <c r="AB103" i="16"/>
  <c r="AJ87" i="24"/>
  <c r="AJ98" i="24" s="1"/>
  <c r="AJ100" i="24" s="1"/>
  <c r="AG98" i="24"/>
  <c r="Y64" i="23"/>
  <c r="Y87" i="23" s="1"/>
  <c r="Y98" i="23" s="1"/>
  <c r="G27" i="13"/>
  <c r="G37" i="13" s="1"/>
  <c r="G40" i="13" s="1"/>
  <c r="K23" i="13"/>
  <c r="M23" i="13" s="1"/>
  <c r="G24" i="7"/>
  <c r="I24" i="7" s="1"/>
  <c r="AI100" i="23"/>
  <c r="I40" i="14"/>
  <c r="G40" i="14"/>
  <c r="M27" i="13" l="1"/>
  <c r="M37" i="13" s="1"/>
  <c r="O27" i="13"/>
  <c r="O37" i="13" s="1"/>
  <c r="O40" i="13" s="1"/>
  <c r="I26" i="7"/>
  <c r="K26" i="7"/>
  <c r="AD100" i="24"/>
  <c r="V18" i="2"/>
  <c r="AH103" i="16"/>
  <c r="AB105" i="16"/>
  <c r="AL87" i="24"/>
  <c r="AL60" i="23"/>
  <c r="AG100" i="24"/>
  <c r="AL100" i="24" s="1"/>
  <c r="AL98" i="24"/>
  <c r="G26" i="7"/>
  <c r="K27" i="13"/>
  <c r="K37" i="13" s="1"/>
  <c r="G37" i="7" l="1"/>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7" i="23" s="1"/>
  <c r="E98" i="23" s="1"/>
  <c r="E100" i="23" s="1"/>
  <c r="G13" i="23" s="1"/>
  <c r="AL18" i="23"/>
  <c r="AN18" i="23" s="1"/>
  <c r="R29" i="15"/>
  <c r="X29" i="15" s="1"/>
  <c r="X38" i="15" s="1"/>
  <c r="AF31" i="23"/>
  <c r="AF64" i="23" s="1"/>
  <c r="AL21" i="23"/>
  <c r="AN21" i="23" s="1"/>
  <c r="G148" i="16" l="1"/>
  <c r="AB42" i="16"/>
  <c r="AB60" i="16" s="1"/>
  <c r="AB109" i="16" s="1"/>
  <c r="AB135" i="16" s="1"/>
  <c r="AH135" i="16" s="1"/>
  <c r="AJ135" i="16" s="1"/>
  <c r="R38" i="15"/>
  <c r="R58" i="15" s="1"/>
  <c r="AH29" i="15"/>
  <c r="AJ29" i="15" s="1"/>
  <c r="AH42" i="16"/>
  <c r="AH60" i="16" s="1"/>
  <c r="V15" i="2"/>
  <c r="V20" i="2" s="1"/>
  <c r="V45" i="2" s="1"/>
  <c r="V55" i="2" s="1"/>
  <c r="P20" i="2"/>
  <c r="P45" i="2" s="1"/>
  <c r="P55" i="2" s="1"/>
  <c r="AL31" i="23"/>
  <c r="AF87" i="23"/>
  <c r="AH38" i="15"/>
  <c r="AJ38" i="15" s="1"/>
  <c r="R20" i="2"/>
  <c r="R45" i="2" s="1"/>
  <c r="R55" i="2" s="1"/>
  <c r="X15" i="2"/>
  <c r="AF98" i="23" l="1"/>
  <c r="I148" i="16"/>
  <c r="G100" i="23"/>
  <c r="I13" i="23" s="1"/>
  <c r="P57" i="2" s="1"/>
  <c r="X57" i="2"/>
  <c r="AB146" i="16"/>
  <c r="AJ42" i="16"/>
  <c r="AH109" i="16"/>
  <c r="AJ109" i="16" s="1"/>
  <c r="AJ60" i="16"/>
  <c r="AL64" i="23"/>
  <c r="AN31" i="23"/>
  <c r="AG15" i="2"/>
  <c r="AI15" i="2"/>
  <c r="AF100" i="23" l="1"/>
  <c r="AN100" i="23" s="1"/>
  <c r="AL98" i="23"/>
  <c r="AL100" i="23" s="1"/>
  <c r="AB148" i="16"/>
  <c r="K148" i="16"/>
  <c r="AI57" i="2"/>
  <c r="AG57" i="2"/>
  <c r="R59" i="2"/>
  <c r="AH146" i="16"/>
  <c r="AJ146" i="16" s="1"/>
  <c r="AN64" i="23"/>
  <c r="AL87" i="23"/>
  <c r="AN87" i="23" s="1"/>
  <c r="AN98" i="23" l="1"/>
  <c r="AH148" i="16"/>
  <c r="AJ148" i="16" s="1"/>
  <c r="M148" i="16"/>
  <c r="I100" i="23"/>
  <c r="O148" i="16" l="1"/>
  <c r="Q148" i="16" l="1"/>
  <c r="K100" i="23"/>
  <c r="K35" i="40"/>
  <c r="S148" i="16" l="1"/>
  <c r="K46" i="40"/>
  <c r="K48" i="40" s="1"/>
  <c r="U148" i="16" l="1"/>
  <c r="M100" i="23"/>
  <c r="W148" i="16" l="1"/>
  <c r="Y148" i="16" l="1"/>
  <c r="O100" i="23"/>
  <c r="Q100" i="23" l="1"/>
  <c r="S100" i="23" l="1"/>
  <c r="U100" i="23" l="1"/>
  <c r="W100" i="23" l="1"/>
  <c r="Y100" i="23" l="1"/>
  <c r="AA100" i="23" l="1"/>
  <c r="P59" i="2" l="1"/>
  <c r="AJ22" i="15"/>
  <c r="J14" i="2"/>
  <c r="X14" i="2" s="1"/>
  <c r="AE38" i="19"/>
  <c r="AE85" i="19" s="1"/>
  <c r="AE111" i="19" s="1"/>
  <c r="AE121" i="19" s="1"/>
  <c r="J22" i="15"/>
  <c r="F38" i="19"/>
  <c r="F85" i="19" s="1"/>
  <c r="F111" i="19" s="1"/>
  <c r="F121" i="19" s="1"/>
  <c r="F123" i="19" s="1"/>
  <c r="H13" i="19" s="1"/>
  <c r="H57" i="2" s="1"/>
  <c r="H123" i="19" l="1"/>
  <c r="X22" i="15"/>
  <c r="J25" i="15"/>
  <c r="J58" i="15" s="1"/>
  <c r="AE123" i="19"/>
  <c r="AK123" i="19" s="1"/>
  <c r="AM123" i="19" s="1"/>
  <c r="AK121" i="19"/>
  <c r="AM121" i="19" s="1"/>
  <c r="X20" i="2"/>
  <c r="AG14" i="2"/>
  <c r="AG20" i="2" s="1"/>
  <c r="AI14" i="2"/>
  <c r="AK17" i="19"/>
  <c r="J20" i="2"/>
  <c r="J45" i="2" s="1"/>
  <c r="J55" i="2" s="1"/>
  <c r="J59" i="2" s="1"/>
  <c r="AK38" i="19" l="1"/>
  <c r="AM17" i="19"/>
  <c r="J123" i="19"/>
  <c r="AI20" i="2"/>
  <c r="X45" i="2"/>
  <c r="X25" i="15"/>
  <c r="AH22" i="15"/>
  <c r="AM38" i="19" l="1"/>
  <c r="AK85" i="19"/>
  <c r="L123" i="19"/>
  <c r="AH25" i="15"/>
  <c r="AJ25" i="15" s="1"/>
  <c r="X58" i="15"/>
  <c r="AH58" i="15" s="1"/>
  <c r="AJ58" i="15" s="1"/>
  <c r="X55" i="2"/>
  <c r="AI45" i="2"/>
  <c r="AG45" i="2"/>
  <c r="AG55" i="2" s="1"/>
  <c r="AG59" i="2" s="1"/>
  <c r="AK111" i="19" l="1"/>
  <c r="AM111" i="19" s="1"/>
  <c r="AM85" i="19"/>
  <c r="N123" i="19"/>
  <c r="X59" i="2"/>
  <c r="AI59" i="2" s="1"/>
  <c r="AI55" i="2"/>
  <c r="P123" i="19" l="1"/>
  <c r="R123" i="19" l="1"/>
  <c r="T123" i="19" l="1"/>
  <c r="V123" i="19" l="1"/>
  <c r="X123" i="19" l="1"/>
  <c r="Z123" i="19" l="1"/>
  <c r="H59" i="2"/>
  <c r="I48" i="44"/>
  <c r="V57" i="2" l="1"/>
  <c r="V59" i="2" s="1"/>
  <c r="I52" i="44"/>
  <c r="I56" i="44" l="1"/>
  <c r="G56" i="44"/>
</calcChain>
</file>

<file path=xl/sharedStrings.xml><?xml version="1.0" encoding="utf-8"?>
<sst xmlns="http://schemas.openxmlformats.org/spreadsheetml/2006/main" count="4214" uniqueCount="1548">
  <si>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</si>
  <si>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</si>
  <si>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</si>
  <si>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</si>
  <si>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</si>
  <si>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</si>
  <si>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</si>
  <si>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</si>
  <si>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</si>
  <si>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</si>
  <si>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</si>
  <si>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</si>
  <si>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</si>
  <si>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</si>
  <si>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</si>
  <si>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</si>
  <si>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</si>
  <si>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</si>
  <si>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</si>
  <si>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</si>
  <si>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</si>
  <si>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</si>
  <si>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</si>
  <si>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</si>
  <si>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</si>
  <si>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</si>
  <si>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</si>
  <si>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</si>
  <si>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</si>
  <si>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</si>
  <si>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</si>
  <si>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</si>
  <si>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</si>
  <si>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</si>
  <si>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</si>
  <si>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</si>
  <si>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</si>
  <si>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</si>
  <si>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</si>
  <si>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</si>
  <si>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</si>
  <si>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</si>
  <si>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</si>
  <si>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</si>
  <si>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</si>
  <si>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</si>
  <si>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</si>
  <si>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</si>
  <si>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</si>
  <si>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</si>
  <si>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</si>
  <si>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</si>
  <si>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</si>
  <si>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</si>
  <si>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</si>
  <si>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</si>
  <si>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</si>
  <si>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</si>
  <si>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</si>
  <si>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</si>
  <si>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</si>
  <si>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</si>
  <si>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</si>
  <si>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</si>
  <si>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</si>
  <si>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</si>
  <si>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</si>
  <si>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</si>
  <si>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</si>
  <si>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</si>
  <si>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</si>
  <si>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</si>
  <si>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</si>
  <si>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</si>
  <si>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</si>
  <si>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</si>
  <si>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</si>
  <si>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</si>
  <si>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</si>
  <si>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</si>
  <si>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</si>
  <si>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</si>
  <si>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</si>
  <si>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</si>
  <si>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</si>
  <si>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</si>
  <si>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</si>
  <si>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</si>
  <si>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</si>
  <si>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</si>
  <si>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</si>
  <si>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</si>
  <si>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</si>
  <si>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</si>
  <si>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</si>
  <si>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</si>
  <si>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</si>
  <si>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</si>
  <si>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</si>
  <si>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</si>
  <si>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</si>
  <si>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</si>
  <si>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</si>
  <si>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</si>
  <si>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</si>
  <si>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</si>
  <si>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</si>
  <si>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</si>
  <si>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</si>
  <si>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</si>
  <si>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</si>
  <si>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</si>
  <si>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</si>
  <si>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</si>
  <si>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</si>
  <si>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</si>
  <si>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</si>
  <si>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</si>
  <si>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</si>
  <si>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</si>
  <si>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</si>
  <si>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</si>
  <si>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</si>
  <si>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</si>
  <si>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</si>
  <si>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</si>
  <si>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</si>
  <si>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</si>
  <si>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</si>
  <si>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</si>
  <si>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</si>
  <si>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</si>
  <si>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</si>
  <si>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</si>
  <si>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</si>
  <si>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</si>
  <si>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</si>
  <si>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</si>
  <si>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</si>
  <si>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</si>
  <si>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</si>
  <si>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</si>
  <si>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</si>
  <si>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</si>
  <si>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</si>
  <si>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</si>
  <si>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</si>
  <si>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</si>
  <si>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</si>
  <si>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</si>
  <si>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</si>
  <si>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</si>
  <si>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</si>
  <si>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</si>
  <si>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</si>
  <si>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</si>
  <si>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</si>
  <si>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</si>
  <si>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</si>
  <si>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</si>
  <si>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</si>
  <si>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</si>
  <si>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</si>
  <si>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</si>
  <si>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</si>
  <si>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</si>
  <si>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</si>
  <si>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</si>
  <si>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</si>
  <si>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</si>
  <si>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</si>
  <si>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</si>
  <si>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</si>
  <si>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</si>
  <si>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</si>
  <si>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</si>
  <si>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</si>
  <si>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</si>
  <si>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</si>
  <si>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</si>
  <si>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</si>
  <si>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</si>
  <si>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</si>
  <si>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</si>
  <si>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</si>
  <si>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</si>
  <si>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</si>
  <si>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</si>
  <si>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</si>
  <si>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</si>
  <si>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</si>
  <si>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</si>
  <si>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</si>
  <si>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</si>
  <si>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</si>
  <si>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</si>
  <si>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</si>
  <si>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</si>
  <si>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</si>
  <si>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</si>
  <si>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</si>
  <si>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</si>
  <si>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</si>
  <si>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</si>
  <si>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</si>
  <si>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</si>
  <si>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</si>
  <si>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</si>
  <si>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</si>
  <si>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</si>
  <si>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</si>
  <si>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</si>
  <si>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</si>
  <si>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</si>
  <si>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</si>
  <si>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</si>
  <si>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</si>
  <si>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</si>
  <si>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</si>
  <si>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</si>
  <si>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</si>
  <si>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</si>
  <si>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</si>
  <si>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</si>
  <si>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</si>
  <si>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</si>
  <si>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</si>
  <si>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</si>
  <si>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</si>
  <si>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</si>
  <si>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</si>
  <si>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</si>
  <si>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</si>
  <si>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</si>
  <si>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</si>
  <si>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</si>
  <si>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</si>
  <si>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</si>
  <si>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</si>
  <si>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</si>
  <si>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</si>
  <si>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</si>
  <si>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</si>
  <si>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</si>
  <si>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</si>
  <si>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</si>
  <si>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</si>
  <si>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</si>
  <si>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</si>
  <si>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</si>
  <si>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</si>
  <si>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</si>
  <si>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</si>
  <si>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</si>
  <si>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</si>
  <si>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</si>
  <si>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</si>
  <si>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</si>
  <si>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</si>
  <si>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</si>
  <si>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</si>
  <si>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</si>
  <si>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</si>
  <si>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</si>
  <si>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</si>
  <si>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</si>
  <si>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</si>
  <si>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</si>
  <si>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</si>
  <si>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</si>
  <si>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</si>
  <si>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</si>
  <si>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</si>
  <si>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</si>
  <si>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</si>
  <si>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</si>
  <si>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</si>
  <si>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</si>
  <si>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</si>
  <si>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</si>
  <si>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</si>
  <si>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</si>
  <si>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</si>
  <si>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</si>
  <si>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</si>
  <si>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</si>
  <si>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</si>
  <si>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</si>
  <si>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</si>
  <si>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</si>
  <si>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</si>
  <si>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</si>
  <si>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</si>
  <si>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</si>
  <si>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</si>
  <si>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</si>
  <si>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</si>
  <si>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</si>
  <si>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</si>
  <si>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</si>
  <si>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</si>
  <si>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</si>
  <si>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</si>
  <si>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</si>
  <si>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</si>
  <si>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</si>
  <si>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</si>
  <si>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</si>
  <si>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</si>
  <si>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</si>
  <si>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</si>
  <si>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</si>
  <si>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</si>
  <si>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</si>
  <si>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</si>
  <si>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</si>
  <si>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</si>
  <si>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</si>
  <si>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</si>
  <si>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</si>
  <si>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</si>
  <si>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</si>
  <si>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</si>
  <si>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</si>
  <si>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</si>
  <si>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</si>
  <si>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</si>
  <si>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</si>
  <si>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</si>
  <si>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</si>
  <si>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</si>
  <si>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</si>
  <si>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</si>
  <si>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</si>
  <si>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</si>
  <si>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</si>
  <si>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</si>
  <si>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</si>
  <si>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</si>
  <si>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</si>
  <si>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</si>
  <si>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</si>
  <si>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</si>
  <si>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</si>
  <si>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</si>
  <si>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</si>
  <si>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</si>
  <si>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</si>
  <si>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</si>
  <si>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</si>
  <si>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</si>
  <si>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</si>
  <si>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</si>
  <si>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</si>
  <si>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</si>
  <si>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</si>
  <si>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</si>
  <si>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</si>
  <si>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</si>
  <si>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</si>
  <si>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</si>
  <si>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</si>
  <si>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</si>
  <si>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</si>
  <si>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</si>
  <si>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</si>
  <si>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</si>
  <si>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</si>
  <si>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</si>
  <si>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</si>
  <si>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</si>
  <si>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</si>
  <si>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</si>
  <si>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</si>
  <si>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</si>
  <si>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</si>
  <si>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</si>
  <si>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</si>
  <si>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</si>
  <si>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</si>
  <si>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</si>
  <si>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</si>
  <si>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</si>
  <si>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</si>
  <si>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</si>
  <si>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</si>
  <si>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</si>
  <si>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</si>
  <si>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</si>
  <si>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</si>
  <si>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</si>
  <si>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</si>
  <si>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</si>
  <si>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</si>
  <si>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</si>
  <si>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</si>
  <si>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</si>
  <si>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</si>
  <si>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</si>
  <si>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</si>
  <si>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</si>
  <si>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</si>
  <si>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</si>
  <si>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</si>
  <si>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</si>
  <si>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</si>
  <si>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</si>
  <si>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</si>
  <si>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</si>
  <si>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</si>
  <si>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</si>
  <si>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</si>
  <si>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</si>
  <si>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</si>
  <si>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</si>
  <si>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</si>
  <si>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</si>
  <si>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</si>
  <si>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</si>
  <si>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</si>
  <si>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</si>
  <si>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</si>
  <si>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</si>
  <si>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</si>
  <si>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</si>
  <si>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</si>
  <si>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</si>
  <si>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</si>
  <si>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</si>
  <si>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</si>
  <si>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</si>
  <si>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</si>
  <si>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</si>
  <si>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</si>
  <si>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</si>
  <si>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</si>
  <si>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</si>
  <si>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</si>
  <si>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</si>
  <si>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</si>
  <si>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</si>
  <si>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</si>
  <si>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</si>
  <si>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</si>
  <si>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</si>
  <si>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</si>
  <si>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</si>
  <si>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</si>
  <si>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</si>
  <si>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</si>
  <si>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</si>
  <si>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</si>
  <si>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</si>
  <si>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</si>
  <si>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</si>
  <si>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</si>
  <si>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</si>
  <si>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</si>
  <si>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</si>
  <si>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</si>
  <si>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</si>
  <si>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</si>
  <si>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</si>
  <si>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</si>
  <si>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</si>
  <si>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</si>
  <si>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</si>
  <si>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</si>
  <si>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</si>
  <si>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</si>
  <si>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</si>
  <si>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</si>
  <si>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</si>
  <si>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</si>
  <si>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</si>
  <si>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</si>
  <si>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</si>
  <si>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</si>
  <si>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</si>
  <si>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</si>
  <si>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</si>
  <si>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</si>
  <si>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</si>
  <si>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</si>
  <si>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</si>
  <si>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</si>
  <si>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</si>
  <si>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</si>
  <si>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</si>
  <si>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</si>
  <si>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</si>
  <si>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</si>
  <si>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</si>
  <si>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</si>
  <si>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</si>
  <si>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</si>
  <si>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</si>
  <si>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</si>
  <si>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</si>
  <si>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</si>
  <si>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</si>
  <si>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</si>
  <si>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</si>
  <si>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</si>
  <si>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</si>
  <si>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</si>
  <si>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</si>
  <si>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</si>
  <si>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</si>
  <si>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</si>
  <si>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</si>
  <si>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</si>
  <si>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</si>
  <si>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</si>
  <si>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</si>
  <si>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</si>
  <si>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</si>
  <si>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</si>
  <si>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</si>
  <si>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</si>
  <si>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</si>
  <si>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</si>
  <si>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</si>
  <si>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</si>
  <si>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</si>
  <si>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</si>
  <si>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</si>
  <si>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</si>
  <si>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</si>
  <si>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</si>
  <si>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</si>
  <si>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</si>
  <si>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</si>
  <si>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</si>
  <si>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</si>
  <si>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</si>
  <si>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</si>
  <si>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</si>
  <si>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</si>
  <si>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</si>
  <si>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</si>
  <si>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</si>
  <si>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</si>
  <si>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</si>
  <si>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</si>
  <si>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</si>
  <si>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</si>
  <si>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</si>
  <si>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</si>
  <si>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</si>
  <si>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</si>
  <si>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</si>
  <si>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</si>
  <si>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</si>
  <si>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</si>
  <si>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</si>
  <si>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</si>
  <si>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</si>
  <si>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</si>
  <si>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</si>
  <si>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</si>
  <si>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</si>
  <si>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</si>
  <si>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</si>
  <si>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</si>
  <si>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</si>
  <si>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</si>
  <si>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</si>
  <si>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</si>
  <si>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</si>
  <si>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</si>
  <si>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</si>
  <si>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</si>
  <si>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</si>
  <si>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</si>
  <si>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</si>
  <si>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</si>
  <si>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</si>
  <si>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</si>
  <si>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</si>
  <si>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</si>
  <si>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</si>
  <si>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</si>
  <si>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</si>
  <si>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</si>
  <si>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</si>
  <si>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</si>
  <si>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</si>
  <si>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</si>
  <si>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</si>
  <si>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</si>
  <si>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</si>
  <si>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</si>
  <si>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</si>
  <si>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</si>
  <si>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</si>
  <si>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</si>
  <si>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</si>
  <si>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</si>
  <si>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</si>
  <si>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</si>
  <si>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</si>
  <si>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</si>
  <si>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</si>
  <si>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</si>
  <si>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</si>
  <si>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</si>
  <si>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</si>
  <si>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</si>
  <si>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</si>
  <si>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</si>
  <si>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</si>
  <si>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</si>
  <si>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</si>
  <si>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</si>
  <si>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</si>
  <si>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</si>
  <si>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</si>
  <si>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</si>
  <si>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</si>
  <si>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</si>
  <si>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</si>
  <si>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</si>
  <si>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</si>
  <si>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</si>
  <si>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</si>
  <si>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</si>
  <si>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</si>
  <si>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</si>
  <si>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</si>
  <si>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</si>
  <si>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</si>
  <si>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</si>
  <si>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</si>
  <si>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</si>
  <si>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</si>
  <si>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</si>
  <si>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</si>
  <si>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</si>
  <si>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</si>
  <si>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</si>
  <si>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</si>
  <si>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</si>
  <si>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</si>
  <si>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</si>
  <si>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</si>
  <si>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</si>
  <si>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</si>
  <si>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</si>
  <si>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</si>
  <si>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</si>
  <si>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</si>
  <si>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</si>
  <si>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</si>
  <si>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</si>
  <si>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</si>
  <si>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</si>
  <si>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</si>
  <si>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</si>
  <si>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</si>
  <si>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</si>
  <si>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</si>
  <si>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</si>
  <si>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</si>
  <si>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</si>
  <si>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</si>
  <si>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</si>
  <si>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</si>
  <si>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</si>
  <si>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</si>
  <si>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</si>
  <si>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</si>
  <si>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</si>
  <si>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</si>
  <si>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23800-23899-Dedicated Miscellaneous State Special Revenue</t>
  </si>
  <si>
    <t xml:space="preserve">  24800-24849-NYS Cannabis Revenue</t>
  </si>
  <si>
    <t xml:space="preserve">  24850-24899-Health Care Transformation</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</si>
  <si>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</si>
  <si>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</si>
  <si>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</si>
  <si>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</si>
  <si>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</si>
  <si>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</si>
  <si>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</si>
  <si>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</si>
  <si>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</si>
  <si>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</si>
  <si>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</si>
  <si>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</si>
  <si>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</si>
  <si>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</si>
  <si>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</si>
  <si>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</si>
  <si>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</si>
  <si>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</si>
  <si>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</si>
  <si>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</si>
  <si>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</si>
  <si>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</si>
  <si>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</si>
  <si>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</si>
  <si>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</si>
  <si>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</si>
  <si>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</si>
  <si>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</si>
  <si>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</si>
  <si>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</si>
  <si>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</si>
  <si>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</si>
  <si>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</si>
  <si>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</si>
  <si>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</si>
  <si>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</si>
  <si>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</si>
  <si>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</si>
  <si>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</si>
  <si>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</si>
  <si>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</si>
  <si>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</si>
  <si>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</si>
  <si>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</si>
  <si>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</si>
  <si>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</si>
  <si>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</si>
  <si>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</si>
  <si>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</si>
  <si>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</si>
  <si>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</si>
  <si>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</si>
  <si>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</si>
  <si>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</si>
  <si>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</si>
  <si>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</si>
  <si>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</si>
  <si>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</si>
  <si>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</si>
  <si>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</si>
  <si>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</si>
  <si>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</si>
  <si>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</si>
  <si>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</si>
  <si>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</si>
  <si>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</si>
  <si>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</si>
  <si>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</si>
  <si>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</si>
  <si>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</si>
  <si>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</si>
  <si>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</si>
  <si>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</si>
  <si>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</si>
  <si>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</si>
  <si>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</si>
  <si>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</si>
  <si>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</si>
  <si>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</si>
  <si>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</si>
  <si>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</si>
  <si>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</si>
  <si>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</si>
  <si>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</si>
  <si>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</si>
  <si>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</si>
  <si>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</si>
  <si>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</si>
  <si>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</si>
  <si>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</si>
  <si>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</si>
  <si>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</si>
  <si>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</si>
  <si>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</si>
  <si>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</si>
  <si>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</si>
  <si>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</si>
  <si>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</si>
  <si>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</si>
  <si>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</si>
  <si>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</si>
  <si>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</si>
  <si>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</si>
  <si>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</si>
  <si>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</si>
  <si>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</si>
  <si>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</si>
  <si>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</si>
  <si>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</si>
  <si>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</si>
  <si>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</si>
  <si>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</si>
  <si>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</si>
  <si>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</si>
  <si>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</si>
  <si>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</si>
  <si>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</si>
  <si>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</si>
  <si>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</si>
  <si>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</si>
  <si>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</si>
  <si>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</si>
  <si>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</si>
  <si>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</si>
  <si>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</si>
  <si>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</si>
  <si>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</si>
  <si>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</si>
  <si>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</si>
  <si>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</si>
  <si>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</si>
  <si>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</si>
  <si>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</si>
  <si>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</si>
  <si>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</si>
  <si>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</si>
  <si>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</si>
  <si>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</si>
  <si>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</si>
  <si>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</si>
  <si>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</si>
  <si>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</si>
  <si>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</si>
  <si>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</si>
  <si>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</si>
  <si>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</si>
  <si>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</si>
  <si>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</si>
  <si>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</si>
  <si>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</si>
  <si>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</si>
  <si>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</si>
  <si>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</si>
  <si>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</si>
  <si>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</si>
  <si>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</si>
  <si>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</si>
  <si>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</si>
  <si>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</si>
  <si>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</si>
  <si>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</si>
  <si>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</si>
  <si>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</si>
  <si>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</si>
  <si>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</si>
  <si>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</si>
  <si>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</si>
  <si>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</si>
  <si>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</si>
  <si>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</si>
  <si>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</si>
  <si>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</si>
  <si>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</si>
  <si>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</si>
  <si>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</si>
  <si>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</si>
  <si>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</si>
  <si>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</si>
  <si>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</si>
  <si>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</si>
  <si>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</si>
  <si>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</si>
  <si>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</si>
  <si>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</si>
  <si>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</si>
  <si>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</si>
  <si>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</si>
  <si>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</si>
  <si>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</si>
  <si>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</si>
  <si>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</si>
  <si>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</si>
  <si>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</si>
  <si>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</si>
  <si>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</si>
  <si>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</si>
  <si>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</si>
  <si>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</si>
  <si>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</si>
  <si>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</si>
  <si>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</si>
  <si>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</si>
  <si>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</si>
  <si>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</si>
  <si>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</si>
  <si>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</si>
  <si>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</si>
  <si>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</si>
  <si>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</si>
  <si>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</si>
  <si>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</si>
  <si>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</si>
  <si>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</si>
  <si>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</si>
  <si>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</si>
  <si>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</si>
  <si>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</si>
  <si>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</si>
  <si>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</si>
  <si>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</si>
  <si>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</si>
  <si>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</si>
  <si>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</si>
  <si>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</si>
  <si>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</si>
  <si>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</si>
  <si>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</si>
  <si>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</si>
  <si>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</si>
  <si>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</si>
  <si>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</si>
  <si>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</si>
  <si>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</si>
  <si>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</si>
  <si>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</si>
  <si>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</si>
  <si>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</si>
  <si>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</si>
  <si>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</si>
  <si>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</si>
  <si>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</si>
  <si>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</si>
  <si>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</si>
  <si>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</si>
  <si>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</si>
  <si>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</si>
  <si>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</si>
  <si>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</si>
  <si>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</si>
  <si>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</si>
  <si>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</si>
  <si>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</si>
  <si>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</si>
  <si>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</si>
  <si>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</si>
  <si>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</si>
  <si>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</si>
  <si>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</si>
  <si>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</si>
  <si>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</si>
  <si>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</si>
  <si>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</si>
  <si>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</si>
  <si>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</si>
  <si>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</si>
  <si>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</si>
  <si>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</si>
  <si>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</si>
  <si>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</si>
  <si>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</si>
  <si>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</si>
  <si>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</si>
  <si>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</si>
  <si>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</si>
  <si>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</si>
  <si>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</si>
  <si>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</si>
  <si>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</si>
  <si>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</si>
  <si>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</si>
  <si>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</si>
  <si>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</si>
  <si>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</si>
  <si>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</si>
  <si>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</si>
  <si>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</si>
  <si>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</si>
  <si>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</si>
  <si>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</si>
  <si>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</si>
  <si>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</si>
  <si>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</si>
  <si>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</si>
  <si>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</si>
  <si>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</si>
  <si>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</si>
  <si>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</si>
  <si>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</si>
  <si>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</si>
  <si>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</si>
  <si>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</si>
  <si>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</si>
  <si>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</si>
  <si>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</si>
  <si>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</si>
  <si>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</si>
  <si>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</si>
  <si>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</si>
  <si>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</si>
  <si>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</si>
  <si>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</si>
  <si>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</si>
  <si>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</si>
  <si>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</si>
  <si>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</si>
  <si>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</si>
  <si>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</si>
  <si>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</si>
  <si>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</si>
  <si>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</si>
  <si>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</si>
  <si>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</si>
  <si>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</si>
  <si>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</si>
  <si>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</si>
  <si>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</si>
  <si>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</si>
  <si>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</si>
  <si>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</si>
  <si>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</si>
  <si>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</si>
  <si>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</si>
  <si>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</si>
  <si>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</si>
  <si>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</si>
  <si>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</si>
  <si>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</si>
  <si>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</si>
  <si>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</si>
  <si>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</si>
  <si>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</si>
  <si>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</si>
  <si>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</si>
  <si>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</si>
  <si>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</si>
  <si>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</si>
  <si>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</si>
  <si>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</si>
  <si>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</si>
  <si>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</si>
  <si>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</si>
  <si>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</si>
  <si>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</si>
  <si>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</si>
  <si>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</si>
  <si>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</si>
  <si>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</si>
  <si>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</si>
  <si>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</si>
  <si>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</si>
  <si>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</si>
  <si>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</si>
  <si>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</si>
  <si>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</si>
  <si>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</si>
  <si>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</si>
  <si>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</si>
  <si>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</si>
  <si>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</si>
  <si>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</si>
  <si>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</si>
  <si>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</si>
  <si>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</si>
  <si>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</si>
  <si>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</si>
  <si>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</si>
  <si>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</si>
  <si>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</si>
  <si>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</si>
  <si>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</si>
  <si>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</si>
  <si>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</si>
  <si>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</si>
  <si>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</si>
  <si>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</si>
  <si>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</si>
  <si>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</si>
  <si>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</si>
  <si>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</si>
  <si>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</si>
  <si>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</si>
  <si>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</si>
  <si>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</si>
  <si>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</si>
  <si>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</si>
  <si>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</si>
  <si>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</si>
  <si>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</si>
  <si>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</si>
  <si>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</si>
  <si>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</si>
  <si>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</si>
  <si>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</si>
  <si>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</si>
  <si>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</si>
  <si>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</si>
  <si>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</si>
  <si>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</si>
  <si>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</si>
  <si>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</si>
  <si>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</si>
  <si>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</si>
  <si>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</si>
  <si>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</si>
  <si>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</si>
  <si>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</si>
  <si>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</si>
  <si>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</si>
  <si>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</si>
  <si>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</si>
  <si>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</si>
  <si>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</si>
  <si>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</si>
  <si>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</si>
  <si>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</si>
  <si>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</si>
  <si>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</si>
  <si>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</si>
  <si>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</si>
  <si>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</si>
  <si>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</si>
  <si>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</si>
  <si>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</si>
  <si>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</si>
  <si>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</si>
  <si>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</si>
  <si>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</si>
  <si>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</si>
  <si>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</si>
  <si>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</si>
  <si>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</si>
  <si>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</si>
  <si>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</si>
  <si>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</si>
  <si>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</si>
  <si>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</si>
  <si>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</si>
  <si>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</si>
  <si>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</si>
  <si>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</si>
  <si>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</si>
  <si>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</si>
  <si>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</si>
  <si>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</si>
  <si>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</si>
  <si>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</si>
  <si>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</si>
  <si>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</si>
  <si>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</si>
  <si>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</si>
  <si>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</si>
  <si>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</si>
  <si>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</si>
  <si>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</si>
  <si>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</si>
  <si>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</si>
  <si>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</si>
  <si>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</si>
  <si>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</si>
  <si>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</si>
  <si>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</si>
  <si>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</si>
  <si>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</si>
  <si>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</si>
  <si>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</si>
  <si>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</si>
  <si>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</si>
  <si>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</si>
  <si>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</si>
  <si>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</si>
  <si>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</si>
  <si>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</si>
  <si>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</si>
  <si>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</si>
  <si>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</si>
  <si>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</si>
  <si>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</si>
  <si>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</si>
  <si>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</si>
  <si>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</si>
  <si>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</si>
  <si>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</si>
  <si>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</si>
  <si>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</si>
  <si>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</si>
  <si>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</si>
  <si>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</si>
  <si>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</si>
  <si>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</si>
  <si>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</si>
  <si>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</si>
  <si>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</si>
  <si>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</si>
  <si>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</si>
  <si>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</si>
  <si>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</si>
  <si>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</si>
  <si>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</si>
  <si>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</si>
  <si>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</si>
  <si>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</si>
  <si>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</si>
  <si>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</si>
  <si>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</si>
  <si>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</si>
  <si>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</si>
  <si>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</si>
  <si>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</si>
  <si>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</si>
  <si>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</si>
  <si>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</si>
  <si>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</si>
  <si>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</si>
  <si>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</si>
  <si>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</si>
  <si>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</si>
  <si>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</si>
  <si>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</si>
  <si>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</si>
  <si>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</si>
  <si>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</si>
  <si>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</si>
  <si>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</si>
  <si>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</si>
  <si>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</si>
  <si>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</si>
  <si>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</si>
  <si>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</si>
  <si>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</si>
  <si>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</si>
  <si>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</si>
  <si>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</si>
  <si>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</si>
  <si>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</si>
  <si>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</si>
  <si>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</si>
  <si>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</si>
  <si>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</si>
  <si>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</si>
  <si>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</si>
  <si>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</si>
  <si>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</si>
  <si>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</si>
  <si>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</si>
  <si>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</si>
  <si>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</si>
  <si>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</si>
  <si>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</si>
  <si>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</si>
  <si>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</si>
  <si>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</si>
  <si>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</si>
  <si>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</si>
  <si>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</si>
  <si>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</si>
  <si>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</si>
  <si>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</si>
  <si>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</si>
  <si>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</si>
  <si>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</si>
  <si>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</si>
  <si>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</si>
  <si>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</si>
  <si>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</si>
  <si>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</si>
  <si>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</si>
  <si>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</si>
  <si>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</si>
  <si>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</si>
  <si>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</si>
  <si>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</si>
  <si>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</si>
  <si>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</si>
  <si>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</si>
  <si>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</si>
  <si>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</si>
  <si>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</si>
  <si>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</si>
  <si>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</si>
  <si>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</si>
  <si>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</si>
  <si>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</si>
  <si>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</si>
  <si>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</si>
  <si>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</si>
  <si>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</si>
  <si>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</si>
  <si>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</si>
  <si>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</si>
  <si>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</si>
  <si>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</si>
  <si>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</si>
  <si>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</si>
  <si>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</si>
  <si>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</si>
  <si>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</si>
  <si>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</si>
  <si>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</si>
  <si>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</si>
  <si>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</si>
  <si>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</si>
  <si>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</si>
  <si>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</si>
  <si>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</si>
  <si>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</si>
  <si>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</si>
  <si>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</si>
  <si>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</si>
  <si>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</si>
  <si>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</si>
  <si>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</si>
  <si>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</si>
  <si>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</si>
  <si>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</si>
  <si>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</si>
  <si>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</si>
  <si>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</si>
  <si>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</si>
  <si>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</si>
  <si>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</si>
  <si>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</si>
  <si>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</si>
  <si>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</si>
  <si>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</si>
  <si>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</si>
  <si>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</si>
  <si>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</si>
  <si>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</si>
  <si>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</si>
  <si>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</si>
  <si>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</si>
  <si>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</si>
  <si>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</si>
  <si>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</si>
  <si>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</si>
  <si>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</si>
  <si>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</si>
  <si>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</si>
  <si>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</si>
  <si>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</si>
  <si>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</si>
  <si>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</si>
  <si>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</si>
  <si>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</si>
  <si>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</si>
  <si>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</si>
  <si>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</si>
  <si>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</si>
  <si>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</si>
  <si>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</si>
  <si>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</si>
  <si>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</si>
  <si>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</si>
  <si>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</si>
  <si>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</si>
  <si>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</si>
  <si>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</si>
  <si>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</si>
  <si>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</si>
  <si>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</si>
  <si>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</si>
  <si>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</si>
  <si>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</si>
  <si>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</si>
  <si>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</si>
  <si>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</si>
  <si>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</si>
  <si>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</si>
  <si>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</si>
  <si>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</si>
  <si>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</si>
  <si>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</si>
  <si>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</si>
  <si>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</si>
  <si>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</si>
  <si>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</si>
  <si>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</si>
  <si>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</si>
  <si>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</si>
  <si>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</si>
  <si>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</si>
  <si>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</si>
  <si>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</si>
  <si>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</si>
  <si>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</si>
  <si>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</si>
  <si>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</si>
  <si>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</si>
  <si>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</si>
  <si>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</si>
  <si>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</si>
  <si>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</si>
  <si>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</si>
  <si>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</si>
  <si>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</si>
  <si>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</si>
  <si>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</si>
  <si>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</si>
  <si>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</si>
  <si>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</si>
  <si>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</si>
  <si>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</si>
  <si>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</si>
  <si>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</si>
  <si>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</si>
  <si>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</si>
  <si>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</si>
  <si>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</si>
  <si>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</si>
  <si>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</si>
  <si>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</si>
  <si>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</si>
  <si>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</si>
  <si>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</si>
  <si>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</si>
  <si>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</si>
  <si>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</si>
  <si>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</si>
  <si>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</si>
  <si>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</si>
  <si>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</si>
  <si>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</si>
  <si>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</si>
  <si>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</si>
  <si>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</si>
  <si>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</si>
  <si>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</si>
  <si>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</si>
  <si>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</si>
  <si>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</si>
  <si>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</si>
  <si>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</si>
  <si>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</si>
  <si>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</si>
  <si>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</si>
  <si>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</si>
  <si>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</si>
  <si>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</si>
  <si>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</si>
  <si>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</si>
  <si>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</si>
  <si>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</si>
  <si>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</si>
  <si>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</si>
  <si>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</si>
  <si>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</si>
  <si>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</si>
  <si>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</si>
  <si>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</si>
  <si>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</si>
  <si>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</si>
  <si>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</si>
  <si>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</si>
  <si>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</si>
  <si>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</si>
  <si>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</si>
  <si>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</si>
  <si>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</si>
  <si>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</si>
  <si>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</si>
  <si>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</si>
  <si>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</si>
  <si>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</si>
  <si>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</si>
  <si>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</si>
  <si>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</si>
  <si>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</si>
  <si>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</si>
  <si>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</si>
  <si>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</si>
  <si>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</si>
  <si>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</si>
  <si>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</si>
  <si>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</si>
  <si>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</si>
  <si>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</si>
  <si>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</si>
  <si>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</si>
  <si>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</si>
  <si>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</si>
  <si>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</si>
  <si>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</si>
  <si>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</si>
  <si>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</si>
  <si>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</si>
  <si>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CENTRALIZED SERVICES-INFORMATION RESOURCE MGMT</t>
  </si>
  <si>
    <t>CENTRALIZED SERVICES- FEDERAL PERSONAL PROPERTY</t>
  </si>
  <si>
    <t xml:space="preserve">            Abandoned Property</t>
  </si>
  <si>
    <t>NY WATERFRONT COMMISSION EMPLOYER ASSESSMENT ACCOUNT</t>
  </si>
  <si>
    <t>CANNABIS EDUCATION ACCOUNT</t>
  </si>
  <si>
    <t>Temporary Loans are authorized pursuant to Subdivision 5 of Section 4 of the State Finance Law and Chapter 56, Part MM, Section 1 of the Laws of 2025-26.</t>
  </si>
  <si>
    <t>payments for patients residing in State-operated Health and Mental Hygiene facilities, SUNY Capital</t>
  </si>
  <si>
    <t xml:space="preserve">   Transfers from Health Care Stability Fund</t>
  </si>
  <si>
    <t>Dedicated Mass Transportation - Transit Authority Account</t>
  </si>
  <si>
    <t>Partnership Plan</t>
  </si>
  <si>
    <t xml:space="preserve">     Housing Finance Agency</t>
  </si>
  <si>
    <t>Reclassification of Medical Assistance payments for care and treatment of patients at State-operated health, mental hygiene and State University facilities to Transfers</t>
  </si>
  <si>
    <t xml:space="preserve">(**) Disbursements from the HCRA Resources Fund includes direct grant payments to program beneficiaries, services and expenses </t>
  </si>
  <si>
    <t xml:space="preserve">     Bank Charge</t>
  </si>
  <si>
    <t>Independent Living Center</t>
  </si>
  <si>
    <t>March 31, 2026</t>
  </si>
  <si>
    <t>FISCAL YEAR 2026-2027</t>
  </si>
  <si>
    <t>April 30, 2026</t>
  </si>
  <si>
    <t>CUSTODIAL FUNDS</t>
  </si>
  <si>
    <t xml:space="preserve">  Plan</t>
  </si>
  <si>
    <t xml:space="preserve">     TOTAL CUSTODIAL FUNDS   </t>
  </si>
  <si>
    <t>New York Central Business District Trust Fund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</si>
  <si>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</si>
  <si>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</si>
  <si>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</si>
  <si>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</si>
  <si>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</si>
  <si>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amounts appropriated in SFY 2026-27, as well as prior year appropriations that were reappropriated. </t>
  </si>
  <si>
    <t>New York City County Clerks' Operations Offset</t>
  </si>
  <si>
    <t>SUNY Hospital IFR</t>
  </si>
  <si>
    <r>
      <t>Debt Service Funds</t>
    </r>
    <r>
      <rPr>
        <b/>
        <sz val="9"/>
        <rFont val="Arial"/>
        <family val="2"/>
      </rPr>
      <t xml:space="preserve">  </t>
    </r>
    <r>
      <rPr>
        <sz val="9"/>
        <rFont val="Arial"/>
        <family val="2"/>
      </rPr>
      <t>“Transfers To Other Funds” includes transfers to the General Fund from the following:</t>
    </r>
  </si>
  <si>
    <t>May 31, 2026</t>
  </si>
  <si>
    <t>payment obligations were met out of these reserves and future payment amounts were</t>
  </si>
  <si>
    <t>State University Income Fund</t>
  </si>
  <si>
    <t>scheduled for transfer at the commencement of the succeeding month.</t>
  </si>
  <si>
    <t>Mass Transportation Finance Assistance</t>
  </si>
  <si>
    <t>(****)</t>
  </si>
  <si>
    <t>GRANTS REIMBURSEMENT FROM NON-FED ENTITY ACCOUNT</t>
  </si>
  <si>
    <t>RENOURISHMENT ACCOUNT</t>
  </si>
  <si>
    <t>TRANSIT AUTHORITIES ACCOUNT</t>
  </si>
  <si>
    <t>RAILROAD ACCOUNT</t>
  </si>
  <si>
    <t>NON-MTA CAPITAL ACCOUNT</t>
  </si>
  <si>
    <t>ANIMAL SHELTER REGULATION ACCOUNT</t>
  </si>
  <si>
    <t xml:space="preserve">  21750-21799-Music Grant</t>
  </si>
  <si>
    <t>(*)  Source: 2026-27 Enacted Budget dated June 10, 2026.</t>
  </si>
  <si>
    <t xml:space="preserve">  31900-31949-Natural Resource Damages</t>
  </si>
  <si>
    <t xml:space="preserve">  23650-23699-MTA Financial Assistance</t>
  </si>
  <si>
    <t xml:space="preserve">  23700-23749-New York State Commercial Gaming</t>
  </si>
  <si>
    <t xml:space="preserve">  10300-10349-Rainy Day Reserve</t>
  </si>
  <si>
    <t xml:space="preserve">  24900-24949-Charitable Gifts Trust</t>
  </si>
  <si>
    <t xml:space="preserve">  23750-23799-Medical Cannabis Trust</t>
  </si>
  <si>
    <t>Temporary Loans are authorized pursuant to Subdivision 5 of Section 4 of the State Finance Law and Chapter 58, Part GGG, Section 1 of the Laws of 2026-27.</t>
  </si>
  <si>
    <t xml:space="preserve">Reclassification of Medical Assistance payments for care and treatment of patients at State-operated health, mental hygiene and State University facilities to Transfers and adjustments for timing of payments at month end.  </t>
  </si>
  <si>
    <t>JUNE 2026</t>
  </si>
  <si>
    <t>JUNE 30, 2026</t>
  </si>
  <si>
    <t>FOR THREE MONTHS ENDED JUNE 30, 2026</t>
  </si>
  <si>
    <t>3 MOS. ENDED</t>
  </si>
  <si>
    <t>June 30, 2026</t>
  </si>
  <si>
    <t>Dedicated Highway and Bridge Trust Fund</t>
  </si>
  <si>
    <t>Dedicated Mass Transportation (Non MTA)</t>
  </si>
  <si>
    <t>Dedicated Mass Transportation - Railroad Account</t>
  </si>
  <si>
    <t>Mass Transportation Operating Assistance Fund</t>
  </si>
  <si>
    <t>Recruitment Incentive Account</t>
  </si>
  <si>
    <t xml:space="preserve">Business Services Center </t>
  </si>
  <si>
    <t xml:space="preserve">the current fiscal quarter.  As of June 30, 2026 - pursuant to a certification of the Budget Director - </t>
  </si>
  <si>
    <t>Indigent Legal Services Account</t>
  </si>
  <si>
    <t>Training and Education Program on OSHA</t>
  </si>
  <si>
    <t>Unemployment Insurance Administration</t>
  </si>
  <si>
    <t>Also Included in Special Revenue Funds are transfers to the General Fund from the following:</t>
  </si>
  <si>
    <t>Projects Fund ($21.7m), and All Other Capital Projects ($22.6m).</t>
  </si>
  <si>
    <t xml:space="preserve">operated health, mental hygiene and State University facilities to Debt Service funds ($1.6m), and the </t>
  </si>
  <si>
    <t xml:space="preserve">State University Income Fund ($113.3m). </t>
  </si>
  <si>
    <t xml:space="preserve">Fund and Department of Health Income Fund ($474.8m) representing the federal share of Medicaid </t>
  </si>
  <si>
    <t xml:space="preserve">expenses for the Department of Health ($46.1m). </t>
  </si>
  <si>
    <r>
      <t>Capital Projects Funds</t>
    </r>
    <r>
      <rPr>
        <b/>
        <sz val="9"/>
        <rFont val="Arial"/>
        <family val="2"/>
      </rPr>
      <t xml:space="preserve">  </t>
    </r>
    <r>
      <rPr>
        <sz val="9"/>
        <rFont val="Arial"/>
        <family val="2"/>
      </rPr>
      <t>“Transfers To Other Funds” includes transfers to the General Fund ($3.4m).</t>
    </r>
  </si>
  <si>
    <t xml:space="preserve">As of June 30, 2026, $11,396,672.16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</si>
</sst>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0_);\(#,##0.00000\)"/>
    <numFmt numFmtId="195" formatCode="0.0_);\(0.0\)"/>
    <numFmt numFmtId="196" formatCode="_(&quot;$&quot;* #,##0_);_(&quot;$&quot;* \(#,##0\);_(&quot;$&quot;* &quot;-&quot;??_);_(@_)"/>
    <numFmt numFmtId="197" formatCode="#,#00.0%"/>
    <numFmt numFmtId="198" formatCode="_(* #,##0.000_);_(* \(#,##0.000\);_(* &quot;-&quot;?_);_(@_)"/>
    <numFmt numFmtId="199" formatCode="mmm\.\ dd\,\ yyyy"/>
  </numFmts>
  <fonts count="233">
    <font>
      <sz val="12"/>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4" fillId="0" borderId="0"/>
    <xf numFmtId="0" fontId="44" fillId="0" borderId="0"/>
    <xf numFmtId="0" fontId="87" fillId="0" borderId="0"/>
    <xf numFmtId="43" fontId="87" fillId="0" borderId="0" applyFont="0" applyFill="0" applyBorder="0" applyAlignment="0" applyProtection="0"/>
    <xf numFmtId="0" fontId="98" fillId="0" borderId="0"/>
    <xf numFmtId="43" fontId="99" fillId="0" borderId="0" applyFont="0" applyFill="0" applyBorder="0" applyAlignment="0" applyProtection="0"/>
    <xf numFmtId="0" fontId="44" fillId="0" borderId="0"/>
    <xf numFmtId="43" fontId="49" fillId="0" borderId="0" applyFont="0" applyFill="0" applyBorder="0" applyAlignment="0" applyProtection="0"/>
    <xf numFmtId="40" fontId="104" fillId="33" borderId="0">
      <alignment horizontal="right"/>
    </xf>
    <xf numFmtId="0" fontId="105" fillId="33" borderId="0">
      <alignment horizontal="right"/>
    </xf>
    <xf numFmtId="0" fontId="106" fillId="33" borderId="12"/>
    <xf numFmtId="0" fontId="106" fillId="0" borderId="0" applyBorder="0">
      <alignment horizontal="centerContinuous"/>
    </xf>
    <xf numFmtId="0" fontId="107" fillId="0" borderId="0" applyBorder="0">
      <alignment horizontal="centerContinuous"/>
    </xf>
    <xf numFmtId="175" fontId="44" fillId="0" borderId="0"/>
    <xf numFmtId="175" fontId="46" fillId="0" borderId="0"/>
    <xf numFmtId="0" fontId="46" fillId="0" borderId="0"/>
    <xf numFmtId="0" fontId="27" fillId="0" borderId="0"/>
    <xf numFmtId="43" fontId="27" fillId="0" borderId="0" applyFont="0" applyFill="0" applyBorder="0" applyAlignment="0" applyProtection="0"/>
    <xf numFmtId="0" fontId="27" fillId="8" borderId="8" applyNumberFormat="0" applyFont="0" applyAlignment="0" applyProtection="0"/>
    <xf numFmtId="0" fontId="112" fillId="0" borderId="0"/>
    <xf numFmtId="43" fontId="113" fillId="0" borderId="0" applyFont="0" applyFill="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44" fontId="27" fillId="0" borderId="0" applyFont="0" applyFill="0" applyBorder="0" applyAlignment="0" applyProtection="0"/>
    <xf numFmtId="0" fontId="44" fillId="0" borderId="0"/>
    <xf numFmtId="0" fontId="99" fillId="0" borderId="0"/>
    <xf numFmtId="43" fontId="99" fillId="0" borderId="0" applyFont="0" applyFill="0" applyBorder="0" applyAlignment="0" applyProtection="0"/>
    <xf numFmtId="0" fontId="43"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43"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43"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43"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43"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43"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43"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43"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43"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43"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33"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7" fillId="6" borderId="4" applyNumberFormat="0" applyAlignment="0" applyProtection="0"/>
    <xf numFmtId="0" fontId="118" fillId="47" borderId="37" applyNumberFormat="0" applyAlignment="0" applyProtection="0"/>
    <xf numFmtId="0" fontId="118" fillId="47" borderId="37" applyNumberFormat="0" applyAlignment="0" applyProtection="0"/>
    <xf numFmtId="0" fontId="39" fillId="7" borderId="7" applyNumberFormat="0" applyAlignment="0" applyProtection="0"/>
    <xf numFmtId="0" fontId="115" fillId="48" borderId="38" applyNumberFormat="0" applyAlignment="0" applyProtection="0"/>
    <xf numFmtId="0" fontId="115" fillId="48" borderId="38" applyNumberFormat="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32"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9" fillId="0" borderId="1" applyNumberFormat="0" applyFill="0" applyAlignment="0" applyProtection="0"/>
    <xf numFmtId="0" fontId="121" fillId="0" borderId="39" applyNumberFormat="0" applyFill="0" applyAlignment="0" applyProtection="0"/>
    <xf numFmtId="0" fontId="121" fillId="0" borderId="39" applyNumberFormat="0" applyFill="0" applyAlignment="0" applyProtection="0"/>
    <xf numFmtId="0" fontId="30" fillId="0" borderId="2" applyNumberFormat="0" applyFill="0" applyAlignment="0" applyProtection="0"/>
    <xf numFmtId="0" fontId="122" fillId="0" borderId="40" applyNumberFormat="0" applyFill="0" applyAlignment="0" applyProtection="0"/>
    <xf numFmtId="0" fontId="122" fillId="0" borderId="40" applyNumberFormat="0" applyFill="0" applyAlignment="0" applyProtection="0"/>
    <xf numFmtId="0" fontId="31" fillId="0" borderId="3" applyNumberFormat="0" applyFill="0" applyAlignment="0" applyProtection="0"/>
    <xf numFmtId="0" fontId="123" fillId="0" borderId="41" applyNumberFormat="0" applyFill="0" applyAlignment="0" applyProtection="0"/>
    <xf numFmtId="0" fontId="123" fillId="0" borderId="41" applyNumberFormat="0" applyFill="0" applyAlignment="0" applyProtection="0"/>
    <xf numFmtId="0" fontId="3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35" fillId="5" borderId="4" applyNumberFormat="0" applyAlignment="0" applyProtection="0"/>
    <xf numFmtId="0" fontId="124" fillId="50" borderId="37" applyNumberFormat="0" applyAlignment="0" applyProtection="0"/>
    <xf numFmtId="0" fontId="124" fillId="50" borderId="37" applyNumberFormat="0" applyAlignment="0" applyProtection="0"/>
    <xf numFmtId="0" fontId="38" fillId="0" borderId="6" applyNumberFormat="0" applyFill="0" applyAlignment="0" applyProtection="0"/>
    <xf numFmtId="0" fontId="125" fillId="0" borderId="42" applyNumberFormat="0" applyFill="0" applyAlignment="0" applyProtection="0"/>
    <xf numFmtId="0" fontId="125" fillId="0" borderId="42" applyNumberFormat="0" applyFill="0" applyAlignment="0" applyProtection="0"/>
    <xf numFmtId="0" fontId="34"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7" fillId="0" borderId="0"/>
    <xf numFmtId="0" fontId="36" fillId="6" borderId="5" applyNumberFormat="0" applyAlignment="0" applyProtection="0"/>
    <xf numFmtId="0" fontId="127" fillId="47" borderId="43" applyNumberFormat="0" applyAlignment="0" applyProtection="0"/>
    <xf numFmtId="0" fontId="127" fillId="47" borderId="43" applyNumberFormat="0" applyAlignment="0" applyProtection="0"/>
    <xf numFmtId="0" fontId="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42" fillId="0" borderId="9" applyNumberFormat="0" applyFill="0" applyAlignment="0" applyProtection="0"/>
    <xf numFmtId="0" fontId="63" fillId="0" borderId="44" applyNumberFormat="0" applyFill="0" applyAlignment="0" applyProtection="0"/>
    <xf numFmtId="0" fontId="63" fillId="0" borderId="44" applyNumberFormat="0" applyFill="0" applyAlignment="0" applyProtection="0"/>
    <xf numFmtId="0" fontId="4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26" fillId="0" borderId="0"/>
    <xf numFmtId="0" fontId="44" fillId="0" borderId="0"/>
    <xf numFmtId="0" fontId="46" fillId="0" borderId="0"/>
    <xf numFmtId="0" fontId="44" fillId="0" borderId="0"/>
    <xf numFmtId="0" fontId="25" fillId="0" borderId="0"/>
    <xf numFmtId="43" fontId="2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9" fillId="0" borderId="0"/>
    <xf numFmtId="0" fontId="24" fillId="0" borderId="0"/>
    <xf numFmtId="43" fontId="24" fillId="0" borderId="0" applyFont="0" applyFill="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8" borderId="8" applyNumberFormat="0" applyFont="0" applyAlignment="0" applyProtection="0"/>
    <xf numFmtId="44" fontId="24" fillId="0" borderId="0" applyFont="0" applyFill="0" applyBorder="0" applyAlignment="0" applyProtection="0"/>
    <xf numFmtId="43" fontId="46" fillId="0" borderId="0" applyFont="0" applyFill="0" applyBorder="0" applyAlignment="0" applyProtection="0"/>
    <xf numFmtId="0" fontId="46" fillId="0" borderId="0"/>
    <xf numFmtId="0" fontId="99" fillId="0" borderId="0"/>
    <xf numFmtId="0" fontId="44"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52"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6"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4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55"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3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49" fillId="5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24"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1" fillId="0" borderId="0"/>
    <xf numFmtId="0" fontId="24" fillId="0" borderId="0"/>
    <xf numFmtId="0" fontId="24" fillId="0" borderId="0"/>
    <xf numFmtId="0" fontId="24" fillId="0" borderId="0"/>
    <xf numFmtId="0" fontId="98" fillId="0" borderId="0"/>
    <xf numFmtId="0" fontId="150" fillId="0" borderId="0"/>
    <xf numFmtId="0" fontId="24" fillId="0" borderId="0"/>
    <xf numFmtId="0" fontId="24" fillId="0" borderId="0"/>
    <xf numFmtId="0" fontId="24" fillId="0" borderId="0"/>
    <xf numFmtId="0" fontId="24" fillId="0" borderId="0"/>
    <xf numFmtId="0" fontId="24" fillId="0" borderId="0"/>
    <xf numFmtId="0" fontId="24" fillId="0" borderId="0"/>
    <xf numFmtId="0" fontId="98" fillId="0" borderId="0"/>
    <xf numFmtId="0" fontId="150" fillId="0" borderId="0"/>
    <xf numFmtId="0" fontId="150" fillId="0" borderId="0"/>
    <xf numFmtId="0" fontId="24" fillId="0" borderId="0"/>
    <xf numFmtId="0" fontId="44" fillId="0" borderId="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49" fillId="57" borderId="4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44" fillId="0" borderId="0"/>
    <xf numFmtId="0" fontId="152" fillId="0" borderId="0"/>
    <xf numFmtId="9" fontId="44" fillId="0" borderId="0" applyFont="0" applyFill="0" applyBorder="0" applyAlignment="0" applyProtection="0"/>
    <xf numFmtId="43" fontId="44" fillId="0" borderId="0" applyFont="0" applyFill="0" applyBorder="0" applyAlignment="0" applyProtection="0"/>
    <xf numFmtId="0" fontId="49" fillId="0" borderId="0"/>
    <xf numFmtId="43" fontId="49" fillId="0" borderId="0" applyFont="0" applyFill="0" applyBorder="0" applyAlignment="0" applyProtection="0"/>
    <xf numFmtId="9" fontId="44" fillId="0" borderId="0" applyFont="0" applyFill="0" applyBorder="0" applyAlignment="0" applyProtection="0"/>
    <xf numFmtId="0" fontId="23" fillId="0" borderId="0"/>
    <xf numFmtId="43"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23" fillId="0" borderId="0"/>
    <xf numFmtId="0" fontId="23" fillId="0" borderId="0"/>
    <xf numFmtId="0" fontId="44"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23" fillId="0" borderId="0"/>
    <xf numFmtId="43" fontId="23" fillId="0" borderId="0" applyFont="0" applyFill="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8" borderId="8" applyNumberFormat="0" applyFont="0" applyAlignment="0" applyProtection="0"/>
    <xf numFmtId="44" fontId="23"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159"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44" fillId="0" borderId="0"/>
    <xf numFmtId="0" fontId="113" fillId="0" borderId="0"/>
    <xf numFmtId="0" fontId="113" fillId="0" borderId="0"/>
    <xf numFmtId="0" fontId="113" fillId="0" borderId="0"/>
    <xf numFmtId="0" fontId="44" fillId="0" borderId="0"/>
    <xf numFmtId="0" fontId="113" fillId="0" borderId="0"/>
    <xf numFmtId="0" fontId="44" fillId="0" borderId="0"/>
    <xf numFmtId="0" fontId="44" fillId="0" borderId="0"/>
    <xf numFmtId="0" fontId="44" fillId="0" borderId="0"/>
    <xf numFmtId="0" fontId="44" fillId="0" borderId="0"/>
    <xf numFmtId="0" fontId="44" fillId="0" borderId="0"/>
    <xf numFmtId="0" fontId="98" fillId="0" borderId="0"/>
    <xf numFmtId="0" fontId="113" fillId="0" borderId="0"/>
    <xf numFmtId="0" fontId="113" fillId="0" borderId="0"/>
    <xf numFmtId="0" fontId="113" fillId="0" borderId="0"/>
    <xf numFmtId="0" fontId="113" fillId="0" borderId="0"/>
    <xf numFmtId="0" fontId="4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13" fillId="57" borderId="48" applyNumberFormat="0" applyFont="0" applyAlignment="0" applyProtection="0"/>
    <xf numFmtId="0" fontId="106" fillId="33" borderId="50"/>
    <xf numFmtId="0" fontId="49" fillId="0" borderId="0"/>
    <xf numFmtId="0" fontId="106" fillId="33" borderId="50"/>
    <xf numFmtId="175"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4" fillId="0" borderId="0"/>
    <xf numFmtId="0" fontId="22" fillId="0" borderId="0"/>
    <xf numFmtId="43" fontId="22" fillId="0" borderId="0" applyFont="0" applyFill="0" applyBorder="0" applyAlignment="0" applyProtection="0"/>
    <xf numFmtId="0" fontId="22" fillId="8" borderId="8" applyNumberFormat="0" applyFont="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164" fontId="44" fillId="0" borderId="0"/>
    <xf numFmtId="0" fontId="165" fillId="0" borderId="0"/>
    <xf numFmtId="0" fontId="106" fillId="33" borderId="52"/>
    <xf numFmtId="0" fontId="165" fillId="0" borderId="0"/>
    <xf numFmtId="0" fontId="20" fillId="0" borderId="0"/>
    <xf numFmtId="0" fontId="165" fillId="0" borderId="0"/>
    <xf numFmtId="0" fontId="165" fillId="0" borderId="0"/>
    <xf numFmtId="0" fontId="19" fillId="0" borderId="0"/>
    <xf numFmtId="0" fontId="166"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0" fontId="19" fillId="0" borderId="0"/>
    <xf numFmtId="0" fontId="166" fillId="0" borderId="0"/>
    <xf numFmtId="43" fontId="166" fillId="0" borderId="0" applyFont="0" applyFill="0" applyBorder="0" applyAlignment="0" applyProtection="0"/>
    <xf numFmtId="0" fontId="168" fillId="0" borderId="0"/>
    <xf numFmtId="0" fontId="166" fillId="0" borderId="0"/>
    <xf numFmtId="0" fontId="166" fillId="0" borderId="0"/>
    <xf numFmtId="0" fontId="166" fillId="0" borderId="0"/>
    <xf numFmtId="0" fontId="19" fillId="0" borderId="0"/>
    <xf numFmtId="0" fontId="166" fillId="0" borderId="0"/>
    <xf numFmtId="0" fontId="168" fillId="0" borderId="0"/>
    <xf numFmtId="0" fontId="165" fillId="0" borderId="0"/>
    <xf numFmtId="0" fontId="165" fillId="0" borderId="0"/>
    <xf numFmtId="0" fontId="18" fillId="0" borderId="0"/>
    <xf numFmtId="0" fontId="165" fillId="0" borderId="0"/>
    <xf numFmtId="0" fontId="165" fillId="0" borderId="0"/>
    <xf numFmtId="0" fontId="18" fillId="0" borderId="0"/>
    <xf numFmtId="0" fontId="18" fillId="0" borderId="0"/>
    <xf numFmtId="0" fontId="49" fillId="0" borderId="0"/>
    <xf numFmtId="0" fontId="17" fillId="0" borderId="0"/>
    <xf numFmtId="0" fontId="166" fillId="0" borderId="0"/>
    <xf numFmtId="0" fontId="166" fillId="0" borderId="0"/>
    <xf numFmtId="0" fontId="166" fillId="0" borderId="0"/>
    <xf numFmtId="0" fontId="169" fillId="0" borderId="0"/>
    <xf numFmtId="0" fontId="169" fillId="0" borderId="0"/>
    <xf numFmtId="0" fontId="16" fillId="0" borderId="0"/>
    <xf numFmtId="0" fontId="16" fillId="0" borderId="0"/>
    <xf numFmtId="43" fontId="49" fillId="0" borderId="0" applyFont="0" applyFill="0" applyBorder="0" applyAlignment="0" applyProtection="0"/>
    <xf numFmtId="0" fontId="16" fillId="0" borderId="0"/>
    <xf numFmtId="0" fontId="169" fillId="0" borderId="0"/>
    <xf numFmtId="0" fontId="169" fillId="0" borderId="0"/>
    <xf numFmtId="0" fontId="15" fillId="0" borderId="0"/>
    <xf numFmtId="0" fontId="15" fillId="0" borderId="0"/>
    <xf numFmtId="0" fontId="15" fillId="0" borderId="0"/>
    <xf numFmtId="0" fontId="169" fillId="0" borderId="0"/>
    <xf numFmtId="0" fontId="166" fillId="0" borderId="0"/>
    <xf numFmtId="0" fontId="14" fillId="0" borderId="0"/>
    <xf numFmtId="0" fontId="166" fillId="0" borderId="0"/>
    <xf numFmtId="0" fontId="166" fillId="0" borderId="0"/>
    <xf numFmtId="0" fontId="166" fillId="0" borderId="0"/>
    <xf numFmtId="0" fontId="14" fillId="0" borderId="0"/>
    <xf numFmtId="0" fontId="166" fillId="0" borderId="0"/>
    <xf numFmtId="0" fontId="166" fillId="0" borderId="0"/>
    <xf numFmtId="164" fontId="170" fillId="0" borderId="0"/>
    <xf numFmtId="43" fontId="44" fillId="0" borderId="0" applyFont="0" applyFill="0" applyBorder="0" applyAlignment="0" applyProtection="0"/>
    <xf numFmtId="0" fontId="44" fillId="0" borderId="0"/>
    <xf numFmtId="0" fontId="44" fillId="0" borderId="0"/>
    <xf numFmtId="0" fontId="49" fillId="0" borderId="0"/>
    <xf numFmtId="43" fontId="49" fillId="0" borderId="0" applyFont="0" applyFill="0" applyBorder="0" applyAlignment="0" applyProtection="0"/>
    <xf numFmtId="0" fontId="98" fillId="0" borderId="0"/>
    <xf numFmtId="175" fontId="44"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18" fillId="47" borderId="55" applyNumberFormat="0" applyAlignment="0" applyProtection="0"/>
    <xf numFmtId="0" fontId="118" fillId="47" borderId="55" applyNumberFormat="0" applyAlignment="0" applyProtection="0"/>
    <xf numFmtId="0" fontId="124" fillId="50" borderId="55" applyNumberFormat="0" applyAlignment="0" applyProtection="0"/>
    <xf numFmtId="0" fontId="124" fillId="50" borderId="55" applyNumberFormat="0" applyAlignment="0" applyProtection="0"/>
    <xf numFmtId="0" fontId="14" fillId="0" borderId="0"/>
    <xf numFmtId="0" fontId="166" fillId="0" borderId="0"/>
    <xf numFmtId="0" fontId="127" fillId="47" borderId="56" applyNumberFormat="0" applyAlignment="0" applyProtection="0"/>
    <xf numFmtId="0" fontId="127" fillId="47" borderId="56" applyNumberFormat="0" applyAlignment="0" applyProtection="0"/>
    <xf numFmtId="0" fontId="63" fillId="0" borderId="57" applyNumberFormat="0" applyFill="0" applyAlignment="0" applyProtection="0"/>
    <xf numFmtId="0" fontId="63" fillId="0" borderId="57" applyNumberFormat="0" applyFill="0" applyAlignment="0" applyProtection="0"/>
    <xf numFmtId="0" fontId="169"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9" fillId="57" borderId="5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6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9" fontId="44" fillId="0" borderId="0" applyFont="0" applyFill="0" applyBorder="0" applyAlignment="0" applyProtection="0"/>
    <xf numFmtId="0" fontId="14" fillId="0" borderId="0"/>
    <xf numFmtId="0" fontId="106" fillId="33" borderId="52"/>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49" fillId="0" borderId="0"/>
    <xf numFmtId="0" fontId="166" fillId="0" borderId="0"/>
    <xf numFmtId="0" fontId="49" fillId="0" borderId="0"/>
    <xf numFmtId="0" fontId="14" fillId="0" borderId="0"/>
    <xf numFmtId="0" fontId="49" fillId="0" borderId="0"/>
    <xf numFmtId="0" fontId="49" fillId="0" borderId="0"/>
    <xf numFmtId="0" fontId="14" fillId="0" borderId="0"/>
    <xf numFmtId="0" fontId="14" fillId="0" borderId="0"/>
    <xf numFmtId="0" fontId="166" fillId="0" borderId="0"/>
    <xf numFmtId="0" fontId="14" fillId="0" borderId="0"/>
    <xf numFmtId="0" fontId="166" fillId="0" borderId="0"/>
    <xf numFmtId="0" fontId="49" fillId="0" borderId="0"/>
    <xf numFmtId="0" fontId="49" fillId="0" borderId="0"/>
    <xf numFmtId="0" fontId="14" fillId="0" borderId="0"/>
    <xf numFmtId="0" fontId="49" fillId="0" borderId="0"/>
    <xf numFmtId="0" fontId="49" fillId="0" borderId="0"/>
    <xf numFmtId="0" fontId="14" fillId="0" borderId="0"/>
    <xf numFmtId="0" fontId="14" fillId="0" borderId="0"/>
    <xf numFmtId="0" fontId="14" fillId="0" borderId="0"/>
    <xf numFmtId="0" fontId="171" fillId="0" borderId="0"/>
    <xf numFmtId="0" fontId="171" fillId="0" borderId="0"/>
    <xf numFmtId="0" fontId="13" fillId="0" borderId="0"/>
    <xf numFmtId="0" fontId="13" fillId="0" borderId="0"/>
    <xf numFmtId="175" fontId="44" fillId="0" borderId="0"/>
    <xf numFmtId="0" fontId="13" fillId="0" borderId="0"/>
    <xf numFmtId="43" fontId="13" fillId="0" borderId="0" applyFont="0" applyFill="0" applyBorder="0" applyAlignment="0" applyProtection="0"/>
    <xf numFmtId="0" fontId="13" fillId="8" borderId="8" applyNumberFormat="0" applyFont="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44"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8" borderId="8" applyNumberFormat="0" applyFont="0" applyAlignment="0" applyProtection="0"/>
    <xf numFmtId="44" fontId="13" fillId="0" borderId="0" applyFont="0" applyFill="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3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8" borderId="8" applyNumberFormat="0" applyFont="0" applyAlignment="0" applyProtection="0"/>
    <xf numFmtId="0" fontId="13" fillId="0" borderId="0"/>
    <xf numFmtId="0" fontId="13" fillId="0" borderId="0"/>
    <xf numFmtId="0" fontId="13" fillId="0" borderId="0"/>
    <xf numFmtId="0" fontId="13" fillId="0" borderId="0"/>
    <xf numFmtId="0" fontId="44" fillId="0" borderId="0"/>
    <xf numFmtId="0" fontId="172" fillId="0" borderId="0"/>
    <xf numFmtId="0" fontId="172" fillId="0" borderId="0"/>
    <xf numFmtId="0" fontId="12" fillId="0" borderId="0"/>
    <xf numFmtId="0" fontId="12" fillId="0" borderId="0"/>
    <xf numFmtId="0" fontId="172" fillId="0" borderId="0"/>
    <xf numFmtId="0" fontId="172" fillId="0" borderId="0"/>
    <xf numFmtId="0" fontId="172" fillId="0" borderId="0"/>
    <xf numFmtId="0" fontId="172" fillId="0" borderId="0"/>
    <xf numFmtId="0" fontId="172" fillId="0" borderId="0"/>
    <xf numFmtId="0" fontId="12" fillId="0" borderId="0"/>
    <xf numFmtId="0" fontId="174" fillId="0" borderId="0"/>
    <xf numFmtId="0" fontId="11" fillId="0" borderId="0"/>
    <xf numFmtId="0" fontId="11"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6" fillId="33" borderId="6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0" fontId="49" fillId="0" borderId="0"/>
    <xf numFmtId="0" fontId="10" fillId="0" borderId="0"/>
    <xf numFmtId="0" fontId="10" fillId="0" borderId="0"/>
    <xf numFmtId="164" fontId="44"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49"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6" fillId="33" borderId="6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0" fontId="10" fillId="0" borderId="0"/>
    <xf numFmtId="0" fontId="10" fillId="0" borderId="0"/>
    <xf numFmtId="0" fontId="10" fillId="0" borderId="0"/>
    <xf numFmtId="0" fontId="49" fillId="0" borderId="0"/>
    <xf numFmtId="0" fontId="49"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10" fillId="0" borderId="0"/>
    <xf numFmtId="43" fontId="176" fillId="0" borderId="0" applyFont="0" applyFill="0" applyBorder="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77" fillId="0" borderId="0"/>
    <xf numFmtId="0" fontId="50" fillId="0" borderId="62" applyNumberFormat="0" applyFont="0" applyBorder="0">
      <alignment horizontal="right"/>
    </xf>
    <xf numFmtId="0" fontId="181" fillId="0" borderId="0" applyFill="0"/>
    <xf numFmtId="0" fontId="49" fillId="0" borderId="0" applyNumberFormat="0" applyFont="0" applyBorder="0" applyAlignment="0"/>
    <xf numFmtId="0" fontId="182" fillId="0" borderId="0" applyFill="0">
      <alignment horizontal="left" indent="1"/>
    </xf>
    <xf numFmtId="44" fontId="177" fillId="0" borderId="0" applyFont="0" applyFill="0" applyBorder="0" applyAlignment="0" applyProtection="0"/>
    <xf numFmtId="43" fontId="177" fillId="0" borderId="0" applyFont="0" applyFill="0" applyBorder="0" applyAlignment="0" applyProtection="0"/>
    <xf numFmtId="4" fontId="114" fillId="0" borderId="10" applyFill="0"/>
    <xf numFmtId="0" fontId="51" fillId="0" borderId="0" applyFill="0"/>
    <xf numFmtId="0" fontId="49" fillId="0" borderId="0"/>
    <xf numFmtId="43" fontId="49" fillId="0" borderId="0" applyFont="0" applyFill="0" applyBorder="0" applyAlignment="0" applyProtection="0"/>
    <xf numFmtId="44" fontId="49" fillId="0" borderId="0" applyFont="0" applyFill="0" applyBorder="0" applyAlignment="0" applyProtection="0"/>
    <xf numFmtId="0" fontId="49" fillId="0" borderId="0"/>
    <xf numFmtId="0" fontId="98" fillId="0" borderId="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68"/>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06" fillId="33" borderId="7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106" fillId="33" borderId="7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190" fillId="0" borderId="0"/>
    <xf numFmtId="186" fontId="47" fillId="0" borderId="0" applyFill="0"/>
    <xf numFmtId="186" fontId="47" fillId="0" borderId="0">
      <alignment horizontal="center"/>
    </xf>
    <xf numFmtId="0" fontId="47" fillId="0" borderId="0" applyFill="0">
      <alignment horizontal="center"/>
    </xf>
    <xf numFmtId="186" fontId="72" fillId="0" borderId="22" applyFill="0"/>
    <xf numFmtId="0" fontId="49" fillId="0" borderId="0" applyFont="0" applyAlignment="0"/>
    <xf numFmtId="0" fontId="191" fillId="0" borderId="0" applyFill="0">
      <alignment vertical="top"/>
    </xf>
    <xf numFmtId="0" fontId="72" fillId="0" borderId="0" applyFill="0">
      <alignment horizontal="left" vertical="top"/>
    </xf>
    <xf numFmtId="186" fontId="51" fillId="0" borderId="65" applyFill="0"/>
    <xf numFmtId="0" fontId="49" fillId="0" borderId="0" applyNumberFormat="0" applyFont="0" applyAlignment="0"/>
    <xf numFmtId="0" fontId="191" fillId="0" borderId="0" applyFill="0">
      <alignment wrapText="1"/>
    </xf>
    <xf numFmtId="0" fontId="72" fillId="0" borderId="0" applyFill="0">
      <alignment horizontal="left" vertical="top" wrapText="1"/>
    </xf>
    <xf numFmtId="186" fontId="86" fillId="0" borderId="0" applyFill="0"/>
    <xf numFmtId="0" fontId="192" fillId="0" borderId="0" applyNumberFormat="0" applyFont="0" applyAlignment="0">
      <alignment horizontal="center"/>
    </xf>
    <xf numFmtId="0" fontId="156" fillId="0" borderId="0" applyFill="0">
      <alignment vertical="top" wrapText="1"/>
    </xf>
    <xf numFmtId="0" fontId="51" fillId="0" borderId="0" applyFill="0">
      <alignment horizontal="left" vertical="top" wrapText="1"/>
    </xf>
    <xf numFmtId="186" fontId="49" fillId="0" borderId="0" applyFill="0"/>
    <xf numFmtId="0" fontId="192" fillId="0" borderId="0" applyNumberFormat="0" applyFont="0" applyAlignment="0">
      <alignment horizontal="center"/>
    </xf>
    <xf numFmtId="0" fontId="94" fillId="0" borderId="0" applyFill="0">
      <alignment vertical="center" wrapText="1"/>
    </xf>
    <xf numFmtId="0" fontId="44" fillId="0" borderId="0">
      <alignment horizontal="left" vertical="center" wrapText="1"/>
    </xf>
    <xf numFmtId="186" fontId="56" fillId="0" borderId="0" applyFill="0"/>
    <xf numFmtId="0" fontId="192" fillId="0" borderId="0" applyNumberFormat="0" applyFont="0" applyAlignment="0">
      <alignment horizontal="center"/>
    </xf>
    <xf numFmtId="0" fontId="193" fillId="0" borderId="0" applyFill="0">
      <alignment horizontal="center" vertical="center" wrapText="1"/>
    </xf>
    <xf numFmtId="0" fontId="49" fillId="0" borderId="0" applyFill="0">
      <alignment horizontal="center" vertical="center" wrapText="1"/>
    </xf>
    <xf numFmtId="186" fontId="194" fillId="0" borderId="0" applyFill="0"/>
    <xf numFmtId="0" fontId="192" fillId="0" borderId="0" applyNumberFormat="0" applyFont="0" applyAlignment="0">
      <alignment horizontal="center"/>
    </xf>
    <xf numFmtId="0" fontId="195" fillId="0" borderId="0" applyFill="0">
      <alignment horizontal="center" vertical="center" wrapText="1"/>
    </xf>
    <xf numFmtId="0" fontId="196" fillId="0" borderId="0" applyFill="0">
      <alignment horizontal="center" vertical="center" wrapText="1"/>
    </xf>
    <xf numFmtId="186" fontId="197" fillId="0" borderId="0" applyFill="0"/>
    <xf numFmtId="0" fontId="192" fillId="0" borderId="0" applyNumberFormat="0" applyFont="0" applyAlignment="0">
      <alignment horizontal="center"/>
    </xf>
    <xf numFmtId="0" fontId="198" fillId="0" borderId="0">
      <alignment horizontal="center" wrapText="1"/>
    </xf>
    <xf numFmtId="0" fontId="194" fillId="0" borderId="0" applyFill="0">
      <alignment horizontal="center" wrapText="1"/>
    </xf>
    <xf numFmtId="4" fontId="47" fillId="35" borderId="0" applyFill="0"/>
    <xf numFmtId="0" fontId="199" fillId="0" borderId="0">
      <alignment horizontal="left" indent="7"/>
    </xf>
    <xf numFmtId="0" fontId="47" fillId="0" borderId="0" applyFill="0">
      <alignment horizontal="left" indent="7"/>
    </xf>
    <xf numFmtId="186" fontId="114" fillId="0" borderId="10" applyFill="0">
      <alignment horizontal="right"/>
    </xf>
    <xf numFmtId="0" fontId="156" fillId="0" borderId="0" applyFill="0">
      <alignment horizontal="left" indent="1"/>
    </xf>
    <xf numFmtId="4" fontId="56" fillId="0" borderId="0" applyFill="0"/>
    <xf numFmtId="0" fontId="49" fillId="0" borderId="0" applyNumberFormat="0" applyFont="0" applyFill="0" applyBorder="0" applyAlignment="0"/>
    <xf numFmtId="0" fontId="156" fillId="0" borderId="0" applyFill="0">
      <alignment horizontal="left" indent="2"/>
    </xf>
    <xf numFmtId="0" fontId="51" fillId="0" borderId="0" applyFill="0">
      <alignment horizontal="left" indent="2"/>
    </xf>
    <xf numFmtId="4" fontId="56" fillId="0" borderId="0" applyFill="0"/>
    <xf numFmtId="0" fontId="49" fillId="0" borderId="0" applyNumberFormat="0" applyFont="0" applyBorder="0" applyAlignment="0"/>
    <xf numFmtId="0" fontId="200" fillId="0" borderId="0">
      <alignment horizontal="left" indent="3"/>
    </xf>
    <xf numFmtId="0" fontId="84" fillId="0" borderId="0" applyFill="0">
      <alignment horizontal="left" indent="3"/>
    </xf>
    <xf numFmtId="4" fontId="56" fillId="0" borderId="0" applyFill="0"/>
    <xf numFmtId="0" fontId="49" fillId="0" borderId="0" applyNumberFormat="0" applyFont="0" applyBorder="0" applyAlignment="0"/>
    <xf numFmtId="0" fontId="193" fillId="0" borderId="0">
      <alignment horizontal="left" indent="4"/>
    </xf>
    <xf numFmtId="0" fontId="49" fillId="0" borderId="0" applyFill="0">
      <alignment horizontal="left" indent="4"/>
    </xf>
    <xf numFmtId="4" fontId="194" fillId="0" borderId="0" applyFill="0"/>
    <xf numFmtId="0" fontId="49" fillId="0" borderId="0" applyNumberFormat="0" applyFont="0" applyBorder="0" applyAlignment="0"/>
    <xf numFmtId="0" fontId="195" fillId="0" borderId="0">
      <alignment horizontal="left" indent="5"/>
    </xf>
    <xf numFmtId="0" fontId="196" fillId="0" borderId="0" applyFill="0">
      <alignment horizontal="left" indent="5"/>
    </xf>
    <xf numFmtId="4" fontId="197" fillId="0" borderId="0" applyFill="0"/>
    <xf numFmtId="0" fontId="49" fillId="0" borderId="0" applyNumberFormat="0" applyFont="0" applyFill="0" applyBorder="0" applyAlignment="0"/>
    <xf numFmtId="0" fontId="198" fillId="0" borderId="0" applyFill="0">
      <alignment horizontal="left" indent="6"/>
    </xf>
    <xf numFmtId="0" fontId="194" fillId="0" borderId="0" applyFill="0">
      <alignment horizontal="left" indent="6"/>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9" fillId="0" borderId="0" applyFill="0">
      <alignment horizontal="center" vertical="center" wrapText="1"/>
    </xf>
    <xf numFmtId="0" fontId="49" fillId="0" borderId="0" applyFill="0">
      <alignment horizontal="left" indent="4"/>
    </xf>
    <xf numFmtId="0" fontId="203"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43" fontId="203" fillId="0" borderId="0" applyFont="0" applyFill="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9" fillId="0" borderId="0"/>
    <xf numFmtId="0" fontId="224" fillId="0" borderId="0"/>
    <xf numFmtId="0" fontId="106" fillId="33" borderId="76"/>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186" fontId="114" fillId="0" borderId="45" applyFill="0">
      <alignment horizontal="right"/>
    </xf>
    <xf numFmtId="4" fontId="114" fillId="0" borderId="45" applyFill="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4" fontId="232" fillId="0" borderId="0" applyFont="0" applyFill="0" applyBorder="0" applyAlignment="0" applyProtection="0"/>
  </cellStyleXfs>
  <cellXfs count="2089">
    <xf numFmtId="164" fontId="0" fillId="0" borderId="0" xfId="0"/>
    <xf numFmtId="170" fontId="51" fillId="0" borderId="0" xfId="0" applyNumberFormat="1" applyFont="1"/>
    <xf numFmtId="164" fontId="51" fillId="0" borderId="0" xfId="0" applyFont="1" applyProtection="1">
      <protection locked="0"/>
    </xf>
    <xf numFmtId="0" fontId="51" fillId="0" borderId="0" xfId="1" applyFont="1"/>
    <xf numFmtId="165" fontId="46" fillId="0" borderId="0" xfId="1" applyNumberFormat="1" applyFont="1"/>
    <xf numFmtId="0" fontId="46" fillId="0" borderId="0" xfId="1" applyFont="1"/>
    <xf numFmtId="0" fontId="51" fillId="0" borderId="0" xfId="1" quotePrefix="1" applyFont="1" applyAlignment="1">
      <alignment horizontal="left"/>
    </xf>
    <xf numFmtId="0" fontId="69" fillId="0" borderId="0" xfId="1" applyFont="1"/>
    <xf numFmtId="165" fontId="69" fillId="0" borderId="0" xfId="1" applyNumberFormat="1" applyFont="1" applyAlignment="1" applyProtection="1">
      <alignment horizontal="center"/>
      <protection locked="0"/>
    </xf>
    <xf numFmtId="165" fontId="69" fillId="0" borderId="0" xfId="1" applyNumberFormat="1" applyFont="1" applyProtection="1">
      <protection locked="0"/>
    </xf>
    <xf numFmtId="165" fontId="69" fillId="0" borderId="0" xfId="1" applyNumberFormat="1" applyFont="1"/>
    <xf numFmtId="170" fontId="69" fillId="0" borderId="0" xfId="1" applyNumberFormat="1" applyFont="1"/>
    <xf numFmtId="170" fontId="0" fillId="0" borderId="0" xfId="1" applyNumberFormat="1" applyFont="1"/>
    <xf numFmtId="170" fontId="51" fillId="0" borderId="0" xfId="1" applyNumberFormat="1" applyFont="1"/>
    <xf numFmtId="170" fontId="51" fillId="0" borderId="17" xfId="1" applyNumberFormat="1" applyFont="1" applyBorder="1"/>
    <xf numFmtId="165" fontId="70" fillId="0" borderId="0" xfId="1" applyNumberFormat="1" applyFont="1"/>
    <xf numFmtId="170" fontId="51" fillId="0" borderId="0" xfId="1" quotePrefix="1" applyNumberFormat="1" applyFont="1" applyAlignment="1">
      <alignment horizontal="center"/>
    </xf>
    <xf numFmtId="170" fontId="51" fillId="0" borderId="0" xfId="1" applyNumberFormat="1" applyFont="1" applyAlignment="1">
      <alignment horizontal="center"/>
    </xf>
    <xf numFmtId="170" fontId="51" fillId="0" borderId="0" xfId="1" applyNumberFormat="1" applyFont="1" applyAlignment="1">
      <alignment horizontal="right"/>
    </xf>
    <xf numFmtId="170" fontId="51" fillId="0" borderId="0" xfId="1" applyNumberFormat="1" applyFont="1" applyAlignment="1">
      <alignment vertical="center"/>
    </xf>
    <xf numFmtId="174" fontId="51" fillId="0" borderId="0" xfId="1" applyNumberFormat="1" applyFont="1"/>
    <xf numFmtId="174" fontId="51" fillId="0" borderId="17" xfId="1" applyNumberFormat="1" applyFont="1" applyBorder="1"/>
    <xf numFmtId="168" fontId="69" fillId="0" borderId="0" xfId="1" applyNumberFormat="1" applyFont="1" applyProtection="1">
      <protection locked="0"/>
    </xf>
    <xf numFmtId="0" fontId="0" fillId="0" borderId="0" xfId="1" applyFont="1"/>
    <xf numFmtId="166" fontId="71" fillId="0" borderId="0" xfId="1" applyNumberFormat="1" applyFont="1"/>
    <xf numFmtId="0" fontId="51" fillId="0" borderId="0" xfId="1" applyFont="1" applyAlignment="1">
      <alignment horizontal="centerContinuous"/>
    </xf>
    <xf numFmtId="170" fontId="51" fillId="0" borderId="0" xfId="1" quotePrefix="1" applyNumberFormat="1" applyFont="1" applyAlignment="1">
      <alignment horizontal="right"/>
    </xf>
    <xf numFmtId="174" fontId="51" fillId="0" borderId="0" xfId="1" applyNumberFormat="1" applyFont="1" applyAlignment="1">
      <alignment horizontal="center"/>
    </xf>
    <xf numFmtId="0" fontId="72" fillId="33" borderId="0" xfId="1" applyFont="1" applyFill="1" applyAlignment="1">
      <alignment horizontal="left"/>
    </xf>
    <xf numFmtId="37" fontId="49" fillId="33" borderId="0" xfId="1" applyNumberFormat="1" applyFont="1" applyFill="1"/>
    <xf numFmtId="37" fontId="49" fillId="0" borderId="0" xfId="1" applyNumberFormat="1" applyFont="1"/>
    <xf numFmtId="37" fontId="73" fillId="0" borderId="0" xfId="1" applyNumberFormat="1" applyFont="1" applyAlignment="1">
      <alignment horizontal="center"/>
    </xf>
    <xf numFmtId="37" fontId="74" fillId="0" borderId="0" xfId="1" applyNumberFormat="1" applyFont="1"/>
    <xf numFmtId="0" fontId="72" fillId="0" borderId="0" xfId="1" quotePrefix="1" applyFont="1" applyAlignment="1" applyProtection="1">
      <alignment horizontal="left"/>
      <protection locked="0"/>
    </xf>
    <xf numFmtId="0" fontId="67" fillId="0" borderId="0" xfId="1" applyFont="1"/>
    <xf numFmtId="0" fontId="47" fillId="0" borderId="0" xfId="1" applyFont="1"/>
    <xf numFmtId="37" fontId="51" fillId="0" borderId="0" xfId="1" applyNumberFormat="1" applyFont="1"/>
    <xf numFmtId="37" fontId="51" fillId="0" borderId="0" xfId="1" applyNumberFormat="1" applyFont="1" applyAlignment="1">
      <alignment horizontal="center"/>
    </xf>
    <xf numFmtId="37" fontId="51" fillId="0" borderId="0" xfId="1" quotePrefix="1" applyNumberFormat="1" applyFont="1" applyAlignment="1">
      <alignment horizontal="center"/>
    </xf>
    <xf numFmtId="3" fontId="49" fillId="0" borderId="0" xfId="1" applyNumberFormat="1" applyFont="1"/>
    <xf numFmtId="166" fontId="51" fillId="0" borderId="0" xfId="1" applyNumberFormat="1" applyFont="1"/>
    <xf numFmtId="166" fontId="0" fillId="0" borderId="0" xfId="1" applyNumberFormat="1" applyFont="1"/>
    <xf numFmtId="37" fontId="51" fillId="0" borderId="0" xfId="1" applyNumberFormat="1" applyFont="1" applyAlignment="1">
      <alignment horizontal="right"/>
    </xf>
    <xf numFmtId="3" fontId="51" fillId="0" borderId="0" xfId="1" applyNumberFormat="1" applyFont="1" applyAlignment="1">
      <alignment horizontal="right"/>
    </xf>
    <xf numFmtId="174" fontId="51" fillId="0" borderId="0" xfId="1" applyNumberFormat="1" applyFont="1" applyAlignment="1">
      <alignment horizontal="right"/>
    </xf>
    <xf numFmtId="169" fontId="51" fillId="0" borderId="0" xfId="1" applyNumberFormat="1" applyFont="1"/>
    <xf numFmtId="166" fontId="69" fillId="0" borderId="0" xfId="1" quotePrefix="1" applyNumberFormat="1" applyFont="1" applyAlignment="1">
      <alignment horizontal="left"/>
    </xf>
    <xf numFmtId="0" fontId="76" fillId="0" borderId="0" xfId="1" applyFont="1"/>
    <xf numFmtId="37" fontId="71" fillId="0" borderId="0" xfId="1" applyNumberFormat="1" applyFont="1"/>
    <xf numFmtId="0" fontId="77" fillId="0" borderId="0" xfId="1" applyFont="1"/>
    <xf numFmtId="0" fontId="72" fillId="0" borderId="0" xfId="1" applyFont="1" applyAlignment="1">
      <alignment horizontal="left"/>
    </xf>
    <xf numFmtId="37" fontId="51" fillId="0" borderId="0" xfId="1" applyNumberFormat="1" applyFont="1" applyAlignment="1">
      <alignment horizontal="centerContinuous"/>
    </xf>
    <xf numFmtId="0" fontId="51" fillId="0" borderId="0" xfId="1" applyFont="1" applyAlignment="1">
      <alignment horizontal="center"/>
    </xf>
    <xf numFmtId="0" fontId="78" fillId="0" borderId="0" xfId="1" applyFont="1" applyAlignment="1">
      <alignment horizontal="center"/>
    </xf>
    <xf numFmtId="37" fontId="75" fillId="0" borderId="0" xfId="1" quotePrefix="1" applyNumberFormat="1" applyFont="1" applyAlignment="1">
      <alignment horizontal="centerContinuous"/>
    </xf>
    <xf numFmtId="0" fontId="56" fillId="0" borderId="0" xfId="1" applyFont="1"/>
    <xf numFmtId="165" fontId="71" fillId="0" borderId="0" xfId="1" applyNumberFormat="1" applyFont="1"/>
    <xf numFmtId="165" fontId="51" fillId="0" borderId="0" xfId="1" applyNumberFormat="1" applyFont="1"/>
    <xf numFmtId="166" fontId="69" fillId="0" borderId="0" xfId="1" applyNumberFormat="1" applyFont="1"/>
    <xf numFmtId="165" fontId="79" fillId="0" borderId="0" xfId="1" applyNumberFormat="1" applyFont="1"/>
    <xf numFmtId="166" fontId="80" fillId="0" borderId="0" xfId="1" applyNumberFormat="1" applyFont="1"/>
    <xf numFmtId="166" fontId="80" fillId="0" borderId="0" xfId="1" quotePrefix="1" applyNumberFormat="1" applyFont="1" applyAlignment="1">
      <alignment horizontal="left"/>
    </xf>
    <xf numFmtId="166" fontId="65" fillId="0" borderId="0" xfId="1" applyNumberFormat="1" applyFont="1"/>
    <xf numFmtId="165" fontId="49" fillId="0" borderId="0" xfId="1" applyNumberFormat="1" applyFont="1"/>
    <xf numFmtId="165" fontId="72" fillId="0" borderId="0" xfId="1" applyNumberFormat="1" applyFont="1"/>
    <xf numFmtId="0" fontId="72" fillId="0" borderId="0" xfId="1" applyFont="1"/>
    <xf numFmtId="164" fontId="72" fillId="0" borderId="0" xfId="1" applyNumberFormat="1" applyFont="1" applyAlignment="1">
      <alignment horizontal="right"/>
    </xf>
    <xf numFmtId="174" fontId="70" fillId="0" borderId="0" xfId="1" applyNumberFormat="1" applyFont="1"/>
    <xf numFmtId="170" fontId="51" fillId="0" borderId="25" xfId="1" applyNumberFormat="1" applyFont="1" applyBorder="1"/>
    <xf numFmtId="0" fontId="51" fillId="0" borderId="17" xfId="1" applyFont="1" applyBorder="1"/>
    <xf numFmtId="174" fontId="51" fillId="0" borderId="15" xfId="1" applyNumberFormat="1" applyFont="1" applyBorder="1"/>
    <xf numFmtId="0" fontId="49" fillId="0" borderId="0" xfId="1" applyFont="1"/>
    <xf numFmtId="0" fontId="45" fillId="0" borderId="0" xfId="1" applyFont="1" applyAlignment="1">
      <alignment horizontal="right"/>
    </xf>
    <xf numFmtId="174" fontId="51" fillId="0" borderId="27" xfId="1" applyNumberFormat="1" applyFont="1" applyBorder="1"/>
    <xf numFmtId="164" fontId="51" fillId="0" borderId="0" xfId="1" applyNumberFormat="1" applyFont="1"/>
    <xf numFmtId="170" fontId="51" fillId="0" borderId="27" xfId="1" applyNumberFormat="1" applyFont="1" applyBorder="1"/>
    <xf numFmtId="166" fontId="51" fillId="0" borderId="0" xfId="1" applyNumberFormat="1" applyFont="1" applyAlignment="1">
      <alignment horizontal="right"/>
    </xf>
    <xf numFmtId="164" fontId="51" fillId="0" borderId="15" xfId="1" applyNumberFormat="1" applyFont="1" applyBorder="1"/>
    <xf numFmtId="168" fontId="47" fillId="0" borderId="0" xfId="1" applyNumberFormat="1" applyFont="1"/>
    <xf numFmtId="0" fontId="86" fillId="0" borderId="0" xfId="1" applyFont="1"/>
    <xf numFmtId="0" fontId="49" fillId="0" borderId="0" xfId="3" applyFont="1"/>
    <xf numFmtId="0" fontId="72" fillId="0" borderId="0" xfId="3" applyFont="1"/>
    <xf numFmtId="174" fontId="51" fillId="0" borderId="0" xfId="3" applyNumberFormat="1" applyFont="1"/>
    <xf numFmtId="0" fontId="51" fillId="0" borderId="0" xfId="3" applyFont="1"/>
    <xf numFmtId="165" fontId="89" fillId="0" borderId="0" xfId="1" applyNumberFormat="1" applyFont="1" applyAlignment="1">
      <alignment horizontal="left"/>
    </xf>
    <xf numFmtId="165" fontId="90" fillId="0" borderId="0" xfId="1" applyNumberFormat="1" applyFont="1"/>
    <xf numFmtId="165" fontId="91" fillId="0" borderId="0" xfId="1" applyNumberFormat="1" applyFont="1"/>
    <xf numFmtId="165" fontId="92" fillId="0" borderId="0" xfId="1" applyNumberFormat="1" applyFont="1" applyAlignment="1">
      <alignment horizontal="centerContinuous"/>
    </xf>
    <xf numFmtId="0" fontId="82" fillId="0" borderId="0" xfId="1" applyFont="1"/>
    <xf numFmtId="165" fontId="89" fillId="0" borderId="0" xfId="1" applyNumberFormat="1" applyFont="1" applyAlignment="1">
      <alignment horizontal="centerContinuous"/>
    </xf>
    <xf numFmtId="0" fontId="93" fillId="0" borderId="0" xfId="1" applyFont="1" applyAlignment="1">
      <alignment horizontal="left"/>
    </xf>
    <xf numFmtId="165" fontId="94" fillId="0" borderId="0" xfId="1" applyNumberFormat="1" applyFont="1"/>
    <xf numFmtId="166" fontId="51" fillId="0" borderId="14" xfId="1" applyNumberFormat="1" applyFont="1" applyBorder="1"/>
    <xf numFmtId="174" fontId="51" fillId="0" borderId="0" xfId="1" quotePrefix="1" applyNumberFormat="1" applyFont="1"/>
    <xf numFmtId="174" fontId="51"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51" fillId="0" borderId="14" xfId="1" applyNumberFormat="1" applyFont="1" applyBorder="1" applyAlignment="1">
      <alignment horizontal="right"/>
    </xf>
    <xf numFmtId="170" fontId="51" fillId="0" borderId="14" xfId="1" applyNumberFormat="1" applyFont="1" applyBorder="1"/>
    <xf numFmtId="172" fontId="0" fillId="0" borderId="0" xfId="1" applyNumberFormat="1" applyFont="1"/>
    <xf numFmtId="170" fontId="51" fillId="0" borderId="14" xfId="1" applyNumberFormat="1" applyFont="1" applyBorder="1" applyAlignment="1">
      <alignment horizontal="center"/>
    </xf>
    <xf numFmtId="7" fontId="51" fillId="0" borderId="0" xfId="1" applyNumberFormat="1" applyFont="1"/>
    <xf numFmtId="166" fontId="84" fillId="0" borderId="0" xfId="1" applyNumberFormat="1" applyFont="1" applyAlignment="1">
      <alignment horizontal="left"/>
    </xf>
    <xf numFmtId="0" fontId="84" fillId="0" borderId="0" xfId="1" applyFont="1"/>
    <xf numFmtId="166" fontId="84" fillId="0" borderId="0" xfId="1" quotePrefix="1" applyNumberFormat="1" applyFont="1" applyAlignment="1">
      <alignment horizontal="left"/>
    </xf>
    <xf numFmtId="170" fontId="65" fillId="0" borderId="0" xfId="1" applyNumberFormat="1" applyFont="1" applyAlignment="1">
      <alignment horizontal="right"/>
    </xf>
    <xf numFmtId="0" fontId="72" fillId="0" borderId="0" xfId="1" applyFont="1" applyAlignment="1">
      <alignment horizontal="right"/>
    </xf>
    <xf numFmtId="0" fontId="96" fillId="0" borderId="0" xfId="1" applyFont="1"/>
    <xf numFmtId="0" fontId="0" fillId="0" borderId="0" xfId="14" applyNumberFormat="1" applyFont="1"/>
    <xf numFmtId="0" fontId="51" fillId="0" borderId="0" xfId="14" applyNumberFormat="1" applyFont="1" applyAlignment="1" applyProtection="1">
      <alignment horizontal="center"/>
      <protection locked="0"/>
    </xf>
    <xf numFmtId="0" fontId="51" fillId="0" borderId="0" xfId="14" applyNumberFormat="1" applyFont="1" applyAlignment="1">
      <alignment horizontal="center"/>
    </xf>
    <xf numFmtId="0" fontId="75" fillId="0" borderId="0" xfId="14" applyNumberFormat="1" applyFont="1"/>
    <xf numFmtId="174" fontId="51" fillId="0" borderId="0" xfId="14" applyNumberFormat="1" applyFont="1"/>
    <xf numFmtId="189" fontId="109" fillId="0" borderId="0" xfId="8" applyNumberFormat="1" applyFont="1" applyAlignment="1">
      <alignment horizontal="right"/>
    </xf>
    <xf numFmtId="189" fontId="71" fillId="0" borderId="0" xfId="8" applyNumberFormat="1" applyFont="1" applyAlignment="1"/>
    <xf numFmtId="43" fontId="79" fillId="0" borderId="0" xfId="8" applyFont="1" applyAlignment="1"/>
    <xf numFmtId="189" fontId="49" fillId="0" borderId="0" xfId="8" applyNumberFormat="1" applyFont="1" applyAlignment="1"/>
    <xf numFmtId="0" fontId="45" fillId="0" borderId="0" xfId="736" quotePrefix="1" applyFont="1" applyAlignment="1">
      <alignment horizontal="left"/>
    </xf>
    <xf numFmtId="0" fontId="51" fillId="0" borderId="0" xfId="736" applyFont="1"/>
    <xf numFmtId="0" fontId="96" fillId="0" borderId="0" xfId="736" applyFont="1"/>
    <xf numFmtId="0" fontId="95" fillId="0" borderId="0" xfId="736" applyFont="1"/>
    <xf numFmtId="37" fontId="95" fillId="0" borderId="0" xfId="736" applyNumberFormat="1" applyFont="1"/>
    <xf numFmtId="0" fontId="97" fillId="0" borderId="0" xfId="736" applyFont="1"/>
    <xf numFmtId="37" fontId="96" fillId="0" borderId="22" xfId="736" quotePrefix="1" applyNumberFormat="1" applyFont="1" applyBorder="1" applyAlignment="1">
      <alignment horizontal="center"/>
    </xf>
    <xf numFmtId="37" fontId="132" fillId="0" borderId="0" xfId="1" applyNumberFormat="1" applyFont="1"/>
    <xf numFmtId="37" fontId="133" fillId="0" borderId="0" xfId="1" applyNumberFormat="1" applyFont="1"/>
    <xf numFmtId="0" fontId="131" fillId="0" borderId="0" xfId="1" applyFont="1" applyAlignment="1">
      <alignment horizontal="center"/>
    </xf>
    <xf numFmtId="37" fontId="131" fillId="0" borderId="0" xfId="1" applyNumberFormat="1" applyFont="1"/>
    <xf numFmtId="37" fontId="130" fillId="0" borderId="0" xfId="1" applyNumberFormat="1" applyFont="1"/>
    <xf numFmtId="166" fontId="70" fillId="0" borderId="0" xfId="1" applyNumberFormat="1" applyFont="1"/>
    <xf numFmtId="177" fontId="51" fillId="0" borderId="0" xfId="737" quotePrefix="1" applyNumberFormat="1" applyFont="1" applyAlignment="1">
      <alignment horizontal="left"/>
    </xf>
    <xf numFmtId="177" fontId="51" fillId="0" borderId="0" xfId="737" applyNumberFormat="1" applyFont="1" applyAlignment="1">
      <alignment horizontal="center"/>
    </xf>
    <xf numFmtId="177" fontId="75" fillId="0" borderId="0" xfId="737" applyNumberFormat="1" applyFont="1"/>
    <xf numFmtId="177" fontId="100" fillId="0" borderId="0" xfId="737" applyNumberFormat="1" applyFont="1"/>
    <xf numFmtId="165" fontId="100" fillId="0" borderId="0" xfId="737" applyNumberFormat="1" applyFont="1"/>
    <xf numFmtId="177" fontId="51" fillId="0" borderId="0" xfId="737" applyNumberFormat="1" applyFont="1"/>
    <xf numFmtId="177" fontId="51" fillId="0" borderId="0" xfId="737" applyNumberFormat="1" applyFont="1" applyAlignment="1">
      <alignment horizontal="right"/>
    </xf>
    <xf numFmtId="182" fontId="51" fillId="0" borderId="0" xfId="737" applyNumberFormat="1" applyFont="1"/>
    <xf numFmtId="0" fontId="67" fillId="0" borderId="0" xfId="833" applyFont="1"/>
    <xf numFmtId="0" fontId="67" fillId="0" borderId="0" xfId="833" applyFont="1" applyAlignment="1">
      <alignment horizontal="right"/>
    </xf>
    <xf numFmtId="177" fontId="67" fillId="0" borderId="0" xfId="833" applyNumberFormat="1" applyFont="1"/>
    <xf numFmtId="173" fontId="71" fillId="0" borderId="0" xfId="833" applyNumberFormat="1" applyFont="1"/>
    <xf numFmtId="0" fontId="72" fillId="0" borderId="0" xfId="833" applyFont="1"/>
    <xf numFmtId="0" fontId="51" fillId="0" borderId="0" xfId="833" applyFont="1"/>
    <xf numFmtId="173" fontId="46" fillId="0" borderId="0" xfId="833" applyNumberFormat="1"/>
    <xf numFmtId="0" fontId="72" fillId="0" borderId="0" xfId="833" applyFont="1" applyAlignment="1">
      <alignment horizontal="right"/>
    </xf>
    <xf numFmtId="173" fontId="67" fillId="0" borderId="0" xfId="833" applyNumberFormat="1" applyFont="1"/>
    <xf numFmtId="0" fontId="51" fillId="0" borderId="0" xfId="833" applyFont="1" applyAlignment="1">
      <alignment horizontal="right"/>
    </xf>
    <xf numFmtId="0" fontId="72" fillId="0" borderId="0" xfId="833" quotePrefix="1" applyFont="1" applyAlignment="1">
      <alignment horizontal="left"/>
    </xf>
    <xf numFmtId="0" fontId="103" fillId="0" borderId="0" xfId="833" applyFont="1"/>
    <xf numFmtId="180" fontId="46" fillId="0" borderId="0" xfId="833" applyNumberFormat="1"/>
    <xf numFmtId="180" fontId="51" fillId="0" borderId="0" xfId="833" applyNumberFormat="1" applyFont="1"/>
    <xf numFmtId="173" fontId="51" fillId="0" borderId="0" xfId="833" applyNumberFormat="1" applyFont="1"/>
    <xf numFmtId="173" fontId="72" fillId="0" borderId="0" xfId="833" applyNumberFormat="1" applyFont="1"/>
    <xf numFmtId="180" fontId="46" fillId="0" borderId="0" xfId="833" quotePrefix="1" applyNumberFormat="1" applyAlignment="1">
      <alignment horizontal="left"/>
    </xf>
    <xf numFmtId="173" fontId="72" fillId="0" borderId="0" xfId="833" applyNumberFormat="1" applyFont="1" applyAlignment="1">
      <alignment horizontal="centerContinuous"/>
    </xf>
    <xf numFmtId="173" fontId="72" fillId="0" borderId="0" xfId="833" applyNumberFormat="1" applyFont="1" applyAlignment="1">
      <alignment horizontal="center"/>
    </xf>
    <xf numFmtId="0" fontId="103" fillId="0" borderId="0" xfId="833" applyFont="1" applyAlignment="1">
      <alignment horizontal="center"/>
    </xf>
    <xf numFmtId="0" fontId="72" fillId="0" borderId="0" xfId="833" applyFont="1" applyAlignment="1">
      <alignment horizontal="center"/>
    </xf>
    <xf numFmtId="173" fontId="67" fillId="0" borderId="0" xfId="833" applyNumberFormat="1" applyFont="1" applyAlignment="1">
      <alignment horizontal="right"/>
    </xf>
    <xf numFmtId="176" fontId="67" fillId="0" borderId="0" xfId="833" applyNumberFormat="1" applyFont="1"/>
    <xf numFmtId="173" fontId="67" fillId="0" borderId="0" xfId="833" applyNumberFormat="1" applyFont="1" applyAlignment="1">
      <alignment horizontal="center"/>
    </xf>
    <xf numFmtId="0" fontId="68" fillId="0" borderId="0" xfId="833" applyFont="1"/>
    <xf numFmtId="165" fontId="49" fillId="0" borderId="0" xfId="837" applyNumberFormat="1"/>
    <xf numFmtId="165" fontId="109" fillId="0" borderId="0" xfId="837" applyNumberFormat="1" applyFont="1" applyAlignment="1">
      <alignment horizontal="right"/>
    </xf>
    <xf numFmtId="39" fontId="49" fillId="0" borderId="0" xfId="837" applyNumberFormat="1"/>
    <xf numFmtId="40" fontId="49" fillId="0" borderId="0" xfId="837" applyNumberFormat="1"/>
    <xf numFmtId="165" fontId="71" fillId="0" borderId="0" xfId="837" applyNumberFormat="1" applyFont="1"/>
    <xf numFmtId="5" fontId="51" fillId="0" borderId="0" xfId="837" applyNumberFormat="1" applyFont="1"/>
    <xf numFmtId="40" fontId="51" fillId="0" borderId="0" xfId="837" applyNumberFormat="1" applyFont="1"/>
    <xf numFmtId="165" fontId="79" fillId="0" borderId="0" xfId="837" applyNumberFormat="1" applyFont="1" applyAlignment="1">
      <alignment horizontal="right"/>
    </xf>
    <xf numFmtId="0" fontId="73" fillId="0" borderId="0" xfId="837" quotePrefix="1" applyFont="1" applyAlignment="1">
      <alignment horizontal="left"/>
    </xf>
    <xf numFmtId="0" fontId="72" fillId="0" borderId="0" xfId="837" applyFont="1"/>
    <xf numFmtId="40" fontId="110" fillId="0" borderId="0" xfId="837" applyNumberFormat="1" applyFont="1" applyAlignment="1">
      <alignment horizontal="center"/>
    </xf>
    <xf numFmtId="40" fontId="51" fillId="0" borderId="0" xfId="837" quotePrefix="1" applyNumberFormat="1" applyFont="1" applyAlignment="1">
      <alignment horizontal="left"/>
    </xf>
    <xf numFmtId="40" fontId="51" fillId="0" borderId="0" xfId="837" applyNumberFormat="1" applyFont="1" applyAlignment="1">
      <alignment horizontal="left"/>
    </xf>
    <xf numFmtId="39" fontId="51" fillId="0" borderId="0" xfId="837" quotePrefix="1" applyNumberFormat="1" applyFont="1" applyAlignment="1">
      <alignment horizontal="center"/>
    </xf>
    <xf numFmtId="40" fontId="51" fillId="0" borderId="0" xfId="837" applyNumberFormat="1" applyFont="1" applyAlignment="1">
      <alignment horizontal="center"/>
    </xf>
    <xf numFmtId="39" fontId="51" fillId="0" borderId="0" xfId="837" applyNumberFormat="1" applyFont="1" applyAlignment="1">
      <alignment horizontal="center"/>
    </xf>
    <xf numFmtId="37" fontId="51" fillId="0" borderId="0" xfId="837" applyNumberFormat="1" applyFont="1"/>
    <xf numFmtId="185" fontId="51" fillId="0" borderId="0" xfId="837" quotePrefix="1" applyNumberFormat="1" applyFont="1" applyAlignment="1">
      <alignment horizontal="center"/>
    </xf>
    <xf numFmtId="42" fontId="51" fillId="0" borderId="0" xfId="837" applyNumberFormat="1" applyFont="1"/>
    <xf numFmtId="165" fontId="79" fillId="0" borderId="0" xfId="837" applyNumberFormat="1" applyFont="1"/>
    <xf numFmtId="0" fontId="51" fillId="0" borderId="0" xfId="837" applyFont="1"/>
    <xf numFmtId="41" fontId="51" fillId="0" borderId="0" xfId="837" applyNumberFormat="1" applyFont="1"/>
    <xf numFmtId="0" fontId="51" fillId="0" borderId="0" xfId="837" applyFont="1" applyAlignment="1">
      <alignment horizontal="left"/>
    </xf>
    <xf numFmtId="0" fontId="49" fillId="0" borderId="0" xfId="837" applyAlignment="1">
      <alignment horizontal="left"/>
    </xf>
    <xf numFmtId="166" fontId="64" fillId="0" borderId="0" xfId="1" applyNumberFormat="1" applyFont="1"/>
    <xf numFmtId="166" fontId="64" fillId="0" borderId="0" xfId="1" quotePrefix="1" applyNumberFormat="1" applyFont="1" applyAlignment="1">
      <alignment horizontal="left"/>
    </xf>
    <xf numFmtId="166" fontId="65" fillId="0" borderId="0" xfId="1" applyNumberFormat="1" applyFont="1" applyAlignment="1">
      <alignment horizontal="center"/>
    </xf>
    <xf numFmtId="174" fontId="64" fillId="0" borderId="0" xfId="1" applyNumberFormat="1" applyFont="1"/>
    <xf numFmtId="174" fontId="64" fillId="0" borderId="16" xfId="1" applyNumberFormat="1" applyFont="1" applyBorder="1"/>
    <xf numFmtId="166" fontId="65" fillId="0" borderId="0" xfId="1" applyNumberFormat="1" applyFont="1" applyAlignment="1">
      <alignment horizontal="right"/>
    </xf>
    <xf numFmtId="166" fontId="65" fillId="0" borderId="16" xfId="1" applyNumberFormat="1" applyFont="1" applyBorder="1"/>
    <xf numFmtId="170" fontId="65" fillId="0" borderId="0" xfId="1" applyNumberFormat="1" applyFont="1"/>
    <xf numFmtId="170" fontId="65" fillId="0" borderId="16" xfId="1" applyNumberFormat="1" applyFont="1" applyBorder="1"/>
    <xf numFmtId="170" fontId="65" fillId="0" borderId="45" xfId="1" applyNumberFormat="1" applyFont="1" applyBorder="1"/>
    <xf numFmtId="170" fontId="64" fillId="0" borderId="0" xfId="1" applyNumberFormat="1" applyFont="1"/>
    <xf numFmtId="170" fontId="64" fillId="0" borderId="16" xfId="1" applyNumberFormat="1" applyFont="1" applyBorder="1"/>
    <xf numFmtId="166" fontId="65" fillId="0" borderId="0" xfId="1" quotePrefix="1" applyNumberFormat="1" applyFont="1" applyAlignment="1">
      <alignment horizontal="left"/>
    </xf>
    <xf numFmtId="170" fontId="137" fillId="0" borderId="0" xfId="1" applyNumberFormat="1" applyFont="1"/>
    <xf numFmtId="170" fontId="69" fillId="0" borderId="16" xfId="1" applyNumberFormat="1" applyFont="1" applyBorder="1"/>
    <xf numFmtId="170" fontId="70" fillId="0" borderId="0" xfId="1" applyNumberFormat="1" applyFont="1"/>
    <xf numFmtId="170" fontId="70" fillId="0" borderId="16" xfId="1" applyNumberFormat="1" applyFont="1" applyBorder="1"/>
    <xf numFmtId="170" fontId="64" fillId="0" borderId="0" xfId="1" applyNumberFormat="1" applyFont="1" applyAlignment="1">
      <alignment horizontal="right"/>
    </xf>
    <xf numFmtId="166" fontId="69" fillId="0" borderId="16" xfId="1" applyNumberFormat="1" applyFont="1" applyBorder="1"/>
    <xf numFmtId="166" fontId="51" fillId="0" borderId="0" xfId="1" applyNumberFormat="1" applyFont="1" applyAlignment="1">
      <alignment horizontal="left"/>
    </xf>
    <xf numFmtId="174" fontId="64" fillId="0" borderId="15" xfId="1" applyNumberFormat="1" applyFont="1" applyBorder="1"/>
    <xf numFmtId="174" fontId="70" fillId="0" borderId="0" xfId="1" applyNumberFormat="1" applyFont="1" applyAlignment="1">
      <alignment horizontal="right"/>
    </xf>
    <xf numFmtId="174" fontId="70" fillId="0" borderId="16" xfId="1" applyNumberFormat="1" applyFont="1" applyBorder="1"/>
    <xf numFmtId="166" fontId="53" fillId="0" borderId="0" xfId="1" applyNumberFormat="1" applyFont="1"/>
    <xf numFmtId="43" fontId="49" fillId="0" borderId="0" xfId="4" applyFont="1" applyFill="1" applyBorder="1" applyAlignment="1">
      <alignment horizontal="right"/>
    </xf>
    <xf numFmtId="0" fontId="83" fillId="0" borderId="0" xfId="5" applyFont="1"/>
    <xf numFmtId="0" fontId="138" fillId="0" borderId="0" xfId="5" applyFont="1"/>
    <xf numFmtId="0" fontId="114" fillId="0" borderId="0" xfId="5" applyFont="1"/>
    <xf numFmtId="0" fontId="56" fillId="0" borderId="0" xfId="5" applyFont="1"/>
    <xf numFmtId="0" fontId="56" fillId="0" borderId="0" xfId="5" applyFont="1" applyAlignment="1">
      <alignment horizontal="left"/>
    </xf>
    <xf numFmtId="0" fontId="56" fillId="0" borderId="0" xfId="5" applyFont="1" applyAlignment="1">
      <alignment horizontal="right" indent="15"/>
    </xf>
    <xf numFmtId="0" fontId="49" fillId="0" borderId="0" xfId="5" applyFont="1" applyAlignment="1">
      <alignment horizontal="center"/>
    </xf>
    <xf numFmtId="0" fontId="56" fillId="0" borderId="0" xfId="5" applyFont="1" applyAlignment="1">
      <alignment horizontal="center"/>
    </xf>
    <xf numFmtId="0" fontId="56" fillId="0" borderId="0" xfId="5" applyFont="1" applyAlignment="1">
      <alignment horizontal="right"/>
    </xf>
    <xf numFmtId="0" fontId="114" fillId="0" borderId="0" xfId="5" quotePrefix="1" applyFont="1" applyAlignment="1">
      <alignment horizontal="right"/>
    </xf>
    <xf numFmtId="165" fontId="56" fillId="0" borderId="0" xfId="5" applyNumberFormat="1" applyFont="1" applyAlignment="1">
      <alignment horizontal="right"/>
    </xf>
    <xf numFmtId="0" fontId="140" fillId="0" borderId="0" xfId="5" applyFont="1"/>
    <xf numFmtId="0" fontId="114" fillId="0" borderId="0" xfId="5" applyFont="1" applyAlignment="1">
      <alignment horizontal="center"/>
    </xf>
    <xf numFmtId="187" fontId="56" fillId="0" borderId="0" xfId="5" applyNumberFormat="1" applyFont="1"/>
    <xf numFmtId="0" fontId="138" fillId="0" borderId="0" xfId="5" applyFont="1" applyAlignment="1">
      <alignment horizontal="center"/>
    </xf>
    <xf numFmtId="190" fontId="56" fillId="0" borderId="0" xfId="5" applyNumberFormat="1" applyFont="1"/>
    <xf numFmtId="175" fontId="56" fillId="0" borderId="0" xfId="5" quotePrefix="1" applyNumberFormat="1" applyFont="1" applyAlignment="1">
      <alignment horizontal="right"/>
    </xf>
    <xf numFmtId="191" fontId="56" fillId="0" borderId="0" xfId="5" applyNumberFormat="1" applyFont="1"/>
    <xf numFmtId="175" fontId="56" fillId="0" borderId="0" xfId="5" quotePrefix="1" applyNumberFormat="1" applyFont="1"/>
    <xf numFmtId="0" fontId="50" fillId="0" borderId="0" xfId="857" applyFont="1" applyAlignment="1">
      <alignment horizontal="centerContinuous"/>
    </xf>
    <xf numFmtId="37" fontId="50" fillId="0" borderId="0" xfId="857" applyNumberFormat="1" applyFont="1" applyAlignment="1">
      <alignment horizontal="centerContinuous"/>
    </xf>
    <xf numFmtId="0" fontId="50" fillId="0" borderId="0" xfId="857" applyFont="1"/>
    <xf numFmtId="0" fontId="49" fillId="0" borderId="0" xfId="857" applyFont="1" applyAlignment="1">
      <alignment horizontal="centerContinuous"/>
    </xf>
    <xf numFmtId="37" fontId="72" fillId="0" borderId="0" xfId="857" applyNumberFormat="1" applyFont="1" applyAlignment="1">
      <alignment horizontal="centerContinuous"/>
    </xf>
    <xf numFmtId="0" fontId="49" fillId="0" borderId="0" xfId="857" applyFont="1"/>
    <xf numFmtId="0" fontId="50" fillId="0" borderId="46" xfId="857" applyFont="1" applyBorder="1" applyAlignment="1">
      <alignment horizontal="centerContinuous"/>
    </xf>
    <xf numFmtId="0" fontId="49" fillId="0" borderId="20" xfId="857" applyFont="1" applyBorder="1" applyAlignment="1">
      <alignment horizontal="centerContinuous"/>
    </xf>
    <xf numFmtId="37" fontId="72" fillId="0" borderId="47" xfId="857" applyNumberFormat="1" applyFont="1" applyBorder="1"/>
    <xf numFmtId="0" fontId="50" fillId="0" borderId="20" xfId="857" applyFont="1" applyBorder="1"/>
    <xf numFmtId="0" fontId="49" fillId="0" borderId="20" xfId="857" applyFont="1" applyBorder="1"/>
    <xf numFmtId="37" fontId="72" fillId="0" borderId="0" xfId="857" applyNumberFormat="1" applyFont="1"/>
    <xf numFmtId="37" fontId="49" fillId="0" borderId="0" xfId="857" applyNumberFormat="1" applyFont="1"/>
    <xf numFmtId="37" fontId="47" fillId="0" borderId="0" xfId="857" applyNumberFormat="1" applyFont="1"/>
    <xf numFmtId="0" fontId="49" fillId="0" borderId="45" xfId="857" applyFont="1" applyBorder="1"/>
    <xf numFmtId="0" fontId="141" fillId="0" borderId="0" xfId="857" applyFont="1"/>
    <xf numFmtId="37" fontId="49" fillId="0" borderId="0" xfId="857" applyNumberFormat="1" applyFont="1" applyAlignment="1">
      <alignment horizontal="left"/>
    </xf>
    <xf numFmtId="0" fontId="111" fillId="0" borderId="0" xfId="857" applyFont="1"/>
    <xf numFmtId="165" fontId="49" fillId="0" borderId="0" xfId="857" applyNumberFormat="1" applyFont="1" applyAlignment="1">
      <alignment horizontal="left"/>
    </xf>
    <xf numFmtId="0" fontId="142" fillId="0" borderId="0" xfId="857" applyFont="1" applyAlignment="1">
      <alignment vertical="top" wrapText="1"/>
    </xf>
    <xf numFmtId="0" fontId="85" fillId="0" borderId="0" xfId="857" applyFont="1"/>
    <xf numFmtId="0" fontId="49" fillId="0" borderId="0" xfId="857" applyFont="1" applyAlignment="1">
      <alignment horizontal="left"/>
    </xf>
    <xf numFmtId="170" fontId="44" fillId="0" borderId="0" xfId="0" applyNumberFormat="1" applyFont="1"/>
    <xf numFmtId="166" fontId="44" fillId="0" borderId="0" xfId="0" applyNumberFormat="1" applyFont="1" applyProtection="1">
      <protection locked="0"/>
    </xf>
    <xf numFmtId="170" fontId="44" fillId="0" borderId="0" xfId="0" quotePrefix="1" applyNumberFormat="1" applyFont="1" applyAlignment="1">
      <alignment horizontal="center"/>
    </xf>
    <xf numFmtId="37" fontId="44" fillId="0" borderId="0" xfId="1" applyNumberFormat="1"/>
    <xf numFmtId="49" fontId="44" fillId="0" borderId="0" xfId="14" applyNumberFormat="1" applyAlignment="1">
      <alignment horizontal="center"/>
    </xf>
    <xf numFmtId="0" fontId="72" fillId="0" borderId="0" xfId="0" applyNumberFormat="1" applyFont="1"/>
    <xf numFmtId="0" fontId="49" fillId="0" borderId="0" xfId="0" applyNumberFormat="1" applyFont="1"/>
    <xf numFmtId="0" fontId="49" fillId="0" borderId="0" xfId="0" applyNumberFormat="1" applyFont="1" applyAlignment="1">
      <alignment horizontal="right"/>
    </xf>
    <xf numFmtId="0" fontId="50" fillId="0" borderId="0" xfId="0" applyNumberFormat="1" applyFont="1"/>
    <xf numFmtId="39" fontId="50" fillId="0" borderId="0" xfId="0" applyNumberFormat="1" applyFont="1"/>
    <xf numFmtId="0" fontId="49" fillId="0" borderId="0" xfId="0" applyNumberFormat="1" applyFont="1" applyAlignment="1">
      <alignment horizontal="left" vertical="top"/>
    </xf>
    <xf numFmtId="170" fontId="44" fillId="0" borderId="0" xfId="1" applyNumberFormat="1"/>
    <xf numFmtId="165" fontId="44" fillId="0" borderId="0" xfId="0" applyNumberFormat="1" applyFont="1" applyProtection="1">
      <protection locked="0"/>
    </xf>
    <xf numFmtId="164" fontId="44" fillId="0" borderId="0" xfId="0" applyFont="1"/>
    <xf numFmtId="164" fontId="96" fillId="0" borderId="0" xfId="0" applyFont="1"/>
    <xf numFmtId="166" fontId="44" fillId="0" borderId="0" xfId="1" applyNumberFormat="1"/>
    <xf numFmtId="0" fontId="44" fillId="0" borderId="0" xfId="14" applyNumberFormat="1" applyAlignment="1">
      <alignment horizontal="left"/>
    </xf>
    <xf numFmtId="164" fontId="72" fillId="0" borderId="0" xfId="0" applyFont="1"/>
    <xf numFmtId="0" fontId="146" fillId="0" borderId="0" xfId="857" applyFont="1"/>
    <xf numFmtId="37" fontId="49" fillId="34" borderId="0" xfId="857" applyNumberFormat="1" applyFont="1" applyFill="1" applyAlignment="1">
      <alignment horizontal="left"/>
    </xf>
    <xf numFmtId="0" fontId="50" fillId="34" borderId="0" xfId="857" applyFont="1" applyFill="1"/>
    <xf numFmtId="174" fontId="44" fillId="0" borderId="0" xfId="1" applyNumberFormat="1"/>
    <xf numFmtId="170" fontId="44" fillId="0" borderId="0" xfId="1" quotePrefix="1" applyNumberFormat="1" applyAlignment="1">
      <alignment horizontal="center"/>
    </xf>
    <xf numFmtId="174" fontId="44" fillId="0" borderId="0" xfId="1" applyNumberFormat="1" applyAlignment="1">
      <alignment horizontal="right"/>
    </xf>
    <xf numFmtId="174" fontId="44" fillId="0" borderId="0" xfId="1" quotePrefix="1" applyNumberFormat="1" applyAlignment="1">
      <alignment horizontal="center"/>
    </xf>
    <xf numFmtId="186" fontId="98" fillId="0" borderId="0" xfId="5" applyNumberFormat="1"/>
    <xf numFmtId="0" fontId="44" fillId="0" borderId="0" xfId="14" quotePrefix="1" applyNumberFormat="1" applyAlignment="1">
      <alignment horizontal="left"/>
    </xf>
    <xf numFmtId="164" fontId="67" fillId="0" borderId="0" xfId="0" applyFont="1"/>
    <xf numFmtId="164" fontId="51" fillId="0" borderId="0" xfId="0" applyFont="1"/>
    <xf numFmtId="0" fontId="139" fillId="0" borderId="0" xfId="5" applyFont="1" applyAlignment="1">
      <alignment horizontal="left"/>
    </xf>
    <xf numFmtId="164" fontId="44" fillId="0" borderId="0" xfId="1" applyNumberFormat="1"/>
    <xf numFmtId="165" fontId="44" fillId="0" borderId="0" xfId="0" applyNumberFormat="1" applyFont="1"/>
    <xf numFmtId="165" fontId="51" fillId="0" borderId="0" xfId="0" applyNumberFormat="1" applyFont="1"/>
    <xf numFmtId="165" fontId="44" fillId="0" borderId="0" xfId="0" quotePrefix="1" applyNumberFormat="1" applyFont="1" applyAlignment="1">
      <alignment horizontal="center"/>
    </xf>
    <xf numFmtId="170" fontId="44" fillId="0" borderId="0" xfId="1" applyNumberFormat="1" applyAlignment="1">
      <alignment horizontal="right"/>
    </xf>
    <xf numFmtId="170" fontId="44" fillId="0" borderId="0" xfId="1" quotePrefix="1" applyNumberFormat="1" applyAlignment="1">
      <alignment horizontal="right"/>
    </xf>
    <xf numFmtId="170" fontId="44" fillId="0" borderId="0" xfId="1" quotePrefix="1" applyNumberFormat="1"/>
    <xf numFmtId="174" fontId="130" fillId="0" borderId="0" xfId="1" applyNumberFormat="1" applyFont="1"/>
    <xf numFmtId="0" fontId="44" fillId="0" borderId="0" xfId="1"/>
    <xf numFmtId="180" fontId="67" fillId="0" borderId="0" xfId="833" applyNumberFormat="1" applyFont="1"/>
    <xf numFmtId="177" fontId="72" fillId="0" borderId="0" xfId="833" applyNumberFormat="1" applyFont="1" applyAlignment="1">
      <alignment horizontal="right"/>
    </xf>
    <xf numFmtId="177" fontId="72" fillId="0" borderId="0" xfId="833" applyNumberFormat="1" applyFont="1"/>
    <xf numFmtId="173" fontId="67" fillId="0" borderId="0" xfId="833" quotePrefix="1" applyNumberFormat="1" applyFont="1" applyAlignment="1">
      <alignment horizontal="left"/>
    </xf>
    <xf numFmtId="179" fontId="67" fillId="0" borderId="0" xfId="833" applyNumberFormat="1" applyFont="1"/>
    <xf numFmtId="179" fontId="72" fillId="0" borderId="0" xfId="833" applyNumberFormat="1" applyFont="1" applyAlignment="1">
      <alignment horizontal="right"/>
    </xf>
    <xf numFmtId="0" fontId="153" fillId="0" borderId="0" xfId="833" quotePrefix="1" applyFont="1" applyAlignment="1">
      <alignment horizontal="left"/>
    </xf>
    <xf numFmtId="173" fontId="81" fillId="0" borderId="0" xfId="833" applyNumberFormat="1" applyFont="1"/>
    <xf numFmtId="0" fontId="44" fillId="0" borderId="0" xfId="14" applyNumberFormat="1" applyAlignment="1">
      <alignment readingOrder="1"/>
    </xf>
    <xf numFmtId="0" fontId="44" fillId="0" borderId="0" xfId="14" applyNumberFormat="1"/>
    <xf numFmtId="0" fontId="44" fillId="0" borderId="0" xfId="14" applyNumberFormat="1" applyAlignment="1" applyProtection="1">
      <alignment readingOrder="1"/>
      <protection locked="0"/>
    </xf>
    <xf numFmtId="0" fontId="44" fillId="0" borderId="0" xfId="14" applyNumberFormat="1" applyProtection="1">
      <protection locked="0"/>
    </xf>
    <xf numFmtId="0" fontId="51" fillId="0" borderId="0" xfId="14" applyNumberFormat="1" applyFont="1" applyProtection="1">
      <protection locked="0"/>
    </xf>
    <xf numFmtId="39" fontId="49" fillId="0" borderId="0" xfId="0" applyNumberFormat="1" applyFont="1" applyAlignment="1">
      <alignment horizontal="center" vertical="top"/>
    </xf>
    <xf numFmtId="0" fontId="49" fillId="0" borderId="0" xfId="0" quotePrefix="1" applyNumberFormat="1" applyFont="1"/>
    <xf numFmtId="177" fontId="44" fillId="0" borderId="0" xfId="737" applyNumberFormat="1" applyFont="1" applyAlignment="1">
      <alignment horizontal="right"/>
    </xf>
    <xf numFmtId="177" fontId="44" fillId="0" borderId="0" xfId="737" applyNumberFormat="1" applyFont="1"/>
    <xf numFmtId="177" fontId="44" fillId="0" borderId="0" xfId="737" quotePrefix="1" applyNumberFormat="1" applyFont="1" applyAlignment="1">
      <alignment horizontal="left"/>
    </xf>
    <xf numFmtId="177" fontId="98" fillId="0" borderId="0" xfId="737" applyNumberFormat="1" applyFont="1"/>
    <xf numFmtId="0" fontId="98" fillId="0" borderId="0" xfId="737" applyFont="1"/>
    <xf numFmtId="0" fontId="44" fillId="0" borderId="0" xfId="737" quotePrefix="1" applyFont="1" applyAlignment="1">
      <alignment horizontal="left"/>
    </xf>
    <xf numFmtId="181" fontId="44" fillId="0" borderId="0" xfId="738" applyNumberFormat="1" applyFont="1" applyFill="1" applyBorder="1" applyAlignment="1"/>
    <xf numFmtId="0" fontId="51" fillId="0" borderId="0" xfId="1" quotePrefix="1" applyFont="1" applyAlignment="1">
      <alignment horizontal="center"/>
    </xf>
    <xf numFmtId="17" fontId="51" fillId="0" borderId="0" xfId="1" applyNumberFormat="1" applyFont="1" applyAlignment="1">
      <alignment horizontal="center"/>
    </xf>
    <xf numFmtId="15" fontId="51" fillId="0" borderId="0" xfId="1" applyNumberFormat="1" applyFont="1" applyAlignment="1">
      <alignment horizontal="center"/>
    </xf>
    <xf numFmtId="166" fontId="64" fillId="0" borderId="0" xfId="1" applyNumberFormat="1" applyFont="1" applyAlignment="1">
      <alignment horizontal="center"/>
    </xf>
    <xf numFmtId="165" fontId="51" fillId="0" borderId="0" xfId="1" quotePrefix="1" applyNumberFormat="1" applyFont="1" applyAlignment="1">
      <alignment horizontal="center"/>
    </xf>
    <xf numFmtId="166" fontId="51" fillId="0" borderId="0" xfId="1" applyNumberFormat="1" applyFont="1" applyAlignment="1">
      <alignment horizontal="center"/>
    </xf>
    <xf numFmtId="165" fontId="51" fillId="0" borderId="0" xfId="1" applyNumberFormat="1" applyFont="1" applyAlignment="1">
      <alignment horizontal="center"/>
    </xf>
    <xf numFmtId="165" fontId="50" fillId="0" borderId="0" xfId="1" applyNumberFormat="1" applyFont="1"/>
    <xf numFmtId="165" fontId="155" fillId="0" borderId="0" xfId="1" applyNumberFormat="1" applyFont="1"/>
    <xf numFmtId="165" fontId="156" fillId="0" borderId="0" xfId="1" applyNumberFormat="1" applyFont="1"/>
    <xf numFmtId="164" fontId="51" fillId="0" borderId="0" xfId="0" applyFont="1" applyAlignment="1">
      <alignment horizontal="center"/>
    </xf>
    <xf numFmtId="0" fontId="72" fillId="0" borderId="0" xfId="0" applyNumberFormat="1" applyFont="1" applyAlignment="1">
      <alignment horizontal="center"/>
    </xf>
    <xf numFmtId="164" fontId="72" fillId="0" borderId="0" xfId="0" applyFont="1" applyAlignment="1">
      <alignment horizontal="center"/>
    </xf>
    <xf numFmtId="0" fontId="50" fillId="0" borderId="0" xfId="857" applyFont="1" applyAlignment="1">
      <alignment horizontal="right"/>
    </xf>
    <xf numFmtId="164" fontId="49" fillId="0" borderId="0" xfId="1" applyNumberFormat="1" applyFont="1"/>
    <xf numFmtId="164" fontId="45" fillId="0" borderId="0" xfId="1" applyNumberFormat="1" applyFont="1" applyAlignment="1">
      <alignment horizontal="right"/>
    </xf>
    <xf numFmtId="164" fontId="47" fillId="0" borderId="0" xfId="1" applyNumberFormat="1" applyFont="1"/>
    <xf numFmtId="164" fontId="51" fillId="0" borderId="0" xfId="1" applyNumberFormat="1" applyFont="1" applyAlignment="1">
      <alignment horizontal="center"/>
    </xf>
    <xf numFmtId="43" fontId="44" fillId="0" borderId="0" xfId="0" applyNumberFormat="1" applyFont="1"/>
    <xf numFmtId="42" fontId="44" fillId="0" borderId="0" xfId="0" applyNumberFormat="1" applyFont="1"/>
    <xf numFmtId="42" fontId="44" fillId="0" borderId="0" xfId="0" applyNumberFormat="1" applyFont="1" applyProtection="1">
      <protection locked="0"/>
    </xf>
    <xf numFmtId="41" fontId="44" fillId="0" borderId="0" xfId="0" quotePrefix="1" applyNumberFormat="1" applyFont="1" applyAlignment="1">
      <alignment horizontal="right"/>
    </xf>
    <xf numFmtId="41" fontId="44" fillId="0" borderId="0" xfId="0" applyNumberFormat="1" applyFont="1"/>
    <xf numFmtId="41" fontId="44" fillId="0" borderId="0" xfId="0" applyNumberFormat="1" applyFont="1" applyProtection="1">
      <protection locked="0"/>
    </xf>
    <xf numFmtId="41" fontId="44" fillId="0" borderId="0" xfId="0" quotePrefix="1" applyNumberFormat="1" applyFont="1" applyAlignment="1">
      <alignment horizontal="center"/>
    </xf>
    <xf numFmtId="41" fontId="44" fillId="0" borderId="0" xfId="0" quotePrefix="1" applyNumberFormat="1" applyFont="1"/>
    <xf numFmtId="174" fontId="51" fillId="0" borderId="49" xfId="1" applyNumberFormat="1" applyFont="1" applyBorder="1"/>
    <xf numFmtId="0" fontId="72" fillId="0" borderId="0" xfId="833" quotePrefix="1" applyFont="1"/>
    <xf numFmtId="43" fontId="49" fillId="0" borderId="0" xfId="0" applyNumberFormat="1" applyFont="1"/>
    <xf numFmtId="189" fontId="157" fillId="0" borderId="0" xfId="8" applyNumberFormat="1" applyFont="1" applyAlignment="1">
      <alignment horizontal="right"/>
    </xf>
    <xf numFmtId="4" fontId="51" fillId="0" borderId="0" xfId="1025" applyNumberFormat="1" applyFont="1" applyAlignment="1">
      <alignment horizontal="left"/>
    </xf>
    <xf numFmtId="37" fontId="102" fillId="0" borderId="0" xfId="0" applyNumberFormat="1" applyFont="1" applyAlignment="1">
      <alignment horizontal="right"/>
    </xf>
    <xf numFmtId="164" fontId="98" fillId="0" borderId="0" xfId="0" applyFont="1"/>
    <xf numFmtId="165" fontId="73" fillId="0" borderId="0" xfId="837" applyNumberFormat="1" applyFont="1" applyAlignment="1">
      <alignment horizontal="left"/>
    </xf>
    <xf numFmtId="0" fontId="73" fillId="0" borderId="0" xfId="837" applyFont="1" applyAlignment="1">
      <alignment horizontal="left"/>
    </xf>
    <xf numFmtId="0" fontId="44" fillId="0" borderId="0" xfId="837" applyFont="1" applyAlignment="1">
      <alignment horizontal="left"/>
    </xf>
    <xf numFmtId="0" fontId="44" fillId="0" borderId="0" xfId="1" applyAlignment="1">
      <alignment horizontal="left"/>
    </xf>
    <xf numFmtId="0" fontId="72" fillId="0" borderId="0" xfId="1" applyFont="1" applyAlignment="1" applyProtection="1">
      <alignment horizontal="left"/>
      <protection locked="0"/>
    </xf>
    <xf numFmtId="37" fontId="72" fillId="0" borderId="0" xfId="1" applyNumberFormat="1" applyFont="1" applyAlignment="1">
      <alignment horizontal="center"/>
    </xf>
    <xf numFmtId="37" fontId="72" fillId="0" borderId="0" xfId="1" quotePrefix="1" applyNumberFormat="1" applyFont="1" applyAlignment="1">
      <alignment horizontal="center"/>
    </xf>
    <xf numFmtId="165" fontId="44" fillId="0" borderId="0" xfId="1" applyNumberFormat="1" applyProtection="1">
      <protection locked="0"/>
    </xf>
    <xf numFmtId="165" fontId="44" fillId="0" borderId="0" xfId="14" applyNumberFormat="1" applyProtection="1">
      <protection locked="0"/>
    </xf>
    <xf numFmtId="0" fontId="51" fillId="0" borderId="0" xfId="14" applyNumberFormat="1" applyFont="1"/>
    <xf numFmtId="170" fontId="51" fillId="0" borderId="45" xfId="1" applyNumberFormat="1" applyFont="1" applyBorder="1"/>
    <xf numFmtId="43" fontId="50" fillId="0" borderId="0" xfId="0" applyNumberFormat="1" applyFont="1"/>
    <xf numFmtId="0" fontId="103" fillId="0" borderId="0" xfId="14" applyNumberFormat="1" applyFont="1"/>
    <xf numFmtId="0" fontId="108" fillId="0" borderId="0" xfId="14" applyNumberFormat="1" applyFont="1" applyProtection="1">
      <protection locked="0"/>
    </xf>
    <xf numFmtId="0" fontId="108" fillId="0" borderId="0" xfId="14" applyNumberFormat="1" applyFont="1"/>
    <xf numFmtId="0" fontId="108" fillId="0" borderId="0" xfId="14" applyNumberFormat="1" applyFont="1" applyAlignment="1">
      <alignment horizontal="center"/>
    </xf>
    <xf numFmtId="0" fontId="50" fillId="0" borderId="0" xfId="5" applyFont="1" applyAlignment="1">
      <alignment horizontal="right"/>
    </xf>
    <xf numFmtId="165" fontId="44" fillId="0" borderId="0" xfId="1" applyNumberFormat="1"/>
    <xf numFmtId="165" fontId="44" fillId="0" borderId="0" xfId="1" applyNumberFormat="1" applyAlignment="1">
      <alignment horizontal="centerContinuous"/>
    </xf>
    <xf numFmtId="0" fontId="79" fillId="0" borderId="0" xfId="1" applyFont="1" applyAlignment="1">
      <alignment horizontal="left"/>
    </xf>
    <xf numFmtId="170" fontId="44" fillId="0" borderId="0" xfId="1" applyNumberFormat="1" applyAlignment="1">
      <alignment horizontal="center"/>
    </xf>
    <xf numFmtId="164" fontId="51" fillId="0" borderId="45" xfId="1" applyNumberFormat="1" applyFont="1" applyBorder="1"/>
    <xf numFmtId="179" fontId="0" fillId="0" borderId="0" xfId="14" applyNumberFormat="1" applyFont="1"/>
    <xf numFmtId="17" fontId="51" fillId="0" borderId="45" xfId="1" quotePrefix="1" applyNumberFormat="1" applyFont="1" applyBorder="1" applyAlignment="1">
      <alignment horizontal="center"/>
    </xf>
    <xf numFmtId="178" fontId="72" fillId="0" borderId="0" xfId="833" quotePrefix="1" applyNumberFormat="1" applyFont="1" applyAlignment="1">
      <alignment horizontal="center"/>
    </xf>
    <xf numFmtId="0" fontId="160" fillId="0" borderId="0" xfId="1" applyFont="1"/>
    <xf numFmtId="0" fontId="51" fillId="0" borderId="0" xfId="837" quotePrefix="1" applyFont="1" applyAlignment="1">
      <alignment horizontal="center"/>
    </xf>
    <xf numFmtId="164" fontId="44" fillId="0" borderId="0" xfId="0" applyFont="1" applyProtection="1">
      <protection locked="0"/>
    </xf>
    <xf numFmtId="0" fontId="162" fillId="0" borderId="0" xfId="0" applyNumberFormat="1" applyFont="1"/>
    <xf numFmtId="41" fontId="162" fillId="0" borderId="0" xfId="0" applyNumberFormat="1" applyFont="1"/>
    <xf numFmtId="165" fontId="44" fillId="34" borderId="0" xfId="5450" applyNumberFormat="1" applyFill="1" applyProtection="1">
      <protection locked="0"/>
    </xf>
    <xf numFmtId="37" fontId="44" fillId="0" borderId="0" xfId="1" applyNumberFormat="1" applyAlignment="1">
      <alignment horizontal="right"/>
    </xf>
    <xf numFmtId="169" fontId="44" fillId="0" borderId="0" xfId="1" applyNumberFormat="1"/>
    <xf numFmtId="37" fontId="44" fillId="0" borderId="0" xfId="1" quotePrefix="1" applyNumberFormat="1" applyAlignment="1">
      <alignment horizontal="center"/>
    </xf>
    <xf numFmtId="170" fontId="44" fillId="0" borderId="45" xfId="1" applyNumberFormat="1" applyBorder="1" applyAlignment="1">
      <alignment horizontal="right"/>
    </xf>
    <xf numFmtId="170" fontId="44" fillId="0" borderId="45" xfId="1" applyNumberFormat="1" applyBorder="1"/>
    <xf numFmtId="166" fontId="44" fillId="0" borderId="0" xfId="1" applyNumberFormat="1" applyAlignment="1">
      <alignment horizontal="right"/>
    </xf>
    <xf numFmtId="3" fontId="44" fillId="0" borderId="0" xfId="1" applyNumberFormat="1"/>
    <xf numFmtId="0" fontId="44" fillId="0" borderId="0" xfId="5450" applyNumberFormat="1" applyAlignment="1">
      <alignment horizontal="left"/>
    </xf>
    <xf numFmtId="165" fontId="44" fillId="0" borderId="0" xfId="5450" applyNumberFormat="1" applyProtection="1">
      <protection locked="0"/>
    </xf>
    <xf numFmtId="174" fontId="44" fillId="0" borderId="0" xfId="1" quotePrefix="1" applyNumberFormat="1" applyAlignment="1">
      <alignment horizontal="right"/>
    </xf>
    <xf numFmtId="37" fontId="44" fillId="0" borderId="0" xfId="1" applyNumberFormat="1" applyAlignment="1">
      <alignment horizontal="center"/>
    </xf>
    <xf numFmtId="174" fontId="44" fillId="0" borderId="0" xfId="1" quotePrefix="1" applyNumberFormat="1"/>
    <xf numFmtId="166" fontId="65" fillId="0" borderId="19" xfId="1" applyNumberFormat="1" applyFont="1" applyBorder="1"/>
    <xf numFmtId="170" fontId="65" fillId="0" borderId="19" xfId="1" applyNumberFormat="1" applyFont="1" applyBorder="1"/>
    <xf numFmtId="37" fontId="134" fillId="0" borderId="0" xfId="1" applyNumberFormat="1" applyFont="1" applyAlignment="1">
      <alignment horizontal="centerContinuous"/>
    </xf>
    <xf numFmtId="170" fontId="51" fillId="0" borderId="0" xfId="1" quotePrefix="1" applyNumberFormat="1" applyFont="1"/>
    <xf numFmtId="0" fontId="51" fillId="0" borderId="14" xfId="1" applyFont="1" applyBorder="1" applyAlignment="1">
      <alignment horizontal="center"/>
    </xf>
    <xf numFmtId="0" fontId="51" fillId="0" borderId="14" xfId="1" quotePrefix="1" applyFont="1" applyBorder="1" applyAlignment="1">
      <alignment horizontal="center"/>
    </xf>
    <xf numFmtId="170" fontId="51" fillId="0" borderId="14" xfId="1" quotePrefix="1" applyNumberFormat="1" applyFont="1" applyBorder="1"/>
    <xf numFmtId="170" fontId="51" fillId="0" borderId="14" xfId="1" applyNumberFormat="1" applyFont="1" applyBorder="1" applyAlignment="1">
      <alignment vertical="center"/>
    </xf>
    <xf numFmtId="0" fontId="51" fillId="0" borderId="14" xfId="1" applyFont="1" applyBorder="1"/>
    <xf numFmtId="0" fontId="44" fillId="0" borderId="0" xfId="1" applyAlignment="1">
      <alignment horizontal="centerContinuous"/>
    </xf>
    <xf numFmtId="165" fontId="44" fillId="0" borderId="0" xfId="1" applyNumberFormat="1" applyAlignment="1" applyProtection="1">
      <alignment horizontal="center"/>
      <protection locked="0"/>
    </xf>
    <xf numFmtId="165" fontId="44" fillId="0" borderId="14" xfId="1" applyNumberFormat="1" applyBorder="1" applyProtection="1">
      <protection locked="0"/>
    </xf>
    <xf numFmtId="0" fontId="44" fillId="0" borderId="14" xfId="1" applyBorder="1"/>
    <xf numFmtId="169" fontId="44" fillId="0" borderId="14" xfId="1" applyNumberFormat="1" applyBorder="1"/>
    <xf numFmtId="168" fontId="44" fillId="0" borderId="0" xfId="1" applyNumberFormat="1" applyProtection="1">
      <protection locked="0"/>
    </xf>
    <xf numFmtId="168" fontId="44" fillId="0" borderId="0" xfId="1" applyNumberFormat="1"/>
    <xf numFmtId="166" fontId="44" fillId="0" borderId="14" xfId="1" applyNumberFormat="1" applyBorder="1"/>
    <xf numFmtId="0" fontId="44" fillId="0" borderId="14" xfId="1" quotePrefix="1" applyBorder="1"/>
    <xf numFmtId="0" fontId="44" fillId="0" borderId="14" xfId="1" quotePrefix="1" applyBorder="1" applyAlignment="1">
      <alignment horizontal="center"/>
    </xf>
    <xf numFmtId="0" fontId="44" fillId="0" borderId="14" xfId="1" quotePrefix="1" applyBorder="1" applyAlignment="1">
      <alignment horizontal="right"/>
    </xf>
    <xf numFmtId="169" fontId="44" fillId="0" borderId="20" xfId="1" applyNumberFormat="1" applyBorder="1"/>
    <xf numFmtId="170" fontId="44" fillId="0" borderId="0" xfId="1" applyNumberFormat="1" applyProtection="1">
      <protection locked="0"/>
    </xf>
    <xf numFmtId="0" fontId="44" fillId="0" borderId="0" xfId="1" quotePrefix="1" applyAlignment="1">
      <alignment horizontal="left"/>
    </xf>
    <xf numFmtId="170" fontId="51" fillId="0" borderId="0" xfId="3" applyNumberFormat="1" applyFont="1"/>
    <xf numFmtId="170" fontId="51" fillId="0" borderId="0" xfId="4" applyNumberFormat="1" applyFont="1" applyFill="1" applyBorder="1"/>
    <xf numFmtId="165" fontId="51" fillId="0" borderId="45" xfId="1" applyNumberFormat="1" applyFont="1" applyBorder="1" applyAlignment="1">
      <alignment horizontal="center"/>
    </xf>
    <xf numFmtId="164" fontId="51" fillId="0" borderId="25" xfId="1" applyNumberFormat="1" applyFont="1" applyBorder="1"/>
    <xf numFmtId="0" fontId="54" fillId="0" borderId="0" xfId="1" applyFont="1"/>
    <xf numFmtId="170" fontId="86" fillId="0" borderId="0" xfId="1" applyNumberFormat="1" applyFont="1"/>
    <xf numFmtId="170" fontId="51" fillId="0" borderId="25" xfId="1" applyNumberFormat="1" applyFont="1" applyBorder="1" applyAlignment="1">
      <alignment horizontal="right"/>
    </xf>
    <xf numFmtId="165" fontId="44" fillId="0" borderId="0" xfId="0" applyNumberFormat="1" applyFont="1" applyAlignment="1">
      <alignment horizontal="left"/>
    </xf>
    <xf numFmtId="165" fontId="0" fillId="0" borderId="0" xfId="1" applyNumberFormat="1" applyFont="1"/>
    <xf numFmtId="170" fontId="49" fillId="0" borderId="0" xfId="1" applyNumberFormat="1" applyFont="1"/>
    <xf numFmtId="170" fontId="44" fillId="0" borderId="0" xfId="17915" applyNumberFormat="1" applyFont="1" applyFill="1" applyAlignment="1">
      <alignment horizontal="center"/>
    </xf>
    <xf numFmtId="174" fontId="44" fillId="0" borderId="0" xfId="1" applyNumberFormat="1" applyProtection="1">
      <protection locked="0"/>
    </xf>
    <xf numFmtId="174" fontId="0" fillId="0" borderId="0" xfId="1" applyNumberFormat="1" applyFont="1"/>
    <xf numFmtId="37" fontId="51" fillId="0" borderId="45" xfId="1" applyNumberFormat="1" applyFont="1" applyBorder="1"/>
    <xf numFmtId="37" fontId="51" fillId="0" borderId="45" xfId="1" applyNumberFormat="1" applyFont="1" applyBorder="1" applyAlignment="1">
      <alignment horizontal="centerContinuous"/>
    </xf>
    <xf numFmtId="166" fontId="44" fillId="0" borderId="0" xfId="1" applyNumberFormat="1" applyAlignment="1">
      <alignment horizontal="left"/>
    </xf>
    <xf numFmtId="0" fontId="51" fillId="0" borderId="0" xfId="14" applyNumberFormat="1" applyFont="1" applyAlignment="1" applyProtection="1">
      <alignment horizontal="right"/>
      <protection locked="0"/>
    </xf>
    <xf numFmtId="37" fontId="51" fillId="0" borderId="45" xfId="1" applyNumberFormat="1" applyFont="1" applyBorder="1" applyAlignment="1">
      <alignment horizontal="center"/>
    </xf>
    <xf numFmtId="174" fontId="44" fillId="0" borderId="17" xfId="1" applyNumberFormat="1" applyBorder="1"/>
    <xf numFmtId="43" fontId="44" fillId="0" borderId="0" xfId="737" applyNumberFormat="1" applyFont="1" applyAlignment="1">
      <alignment horizontal="right"/>
    </xf>
    <xf numFmtId="0" fontId="99" fillId="0" borderId="0" xfId="737"/>
    <xf numFmtId="0" fontId="44" fillId="0" borderId="0" xfId="736"/>
    <xf numFmtId="37" fontId="44" fillId="0" borderId="0" xfId="736" applyNumberFormat="1"/>
    <xf numFmtId="164" fontId="45" fillId="0" borderId="0" xfId="0" applyFont="1" applyAlignment="1">
      <alignment horizontal="right"/>
    </xf>
    <xf numFmtId="0" fontId="44" fillId="0" borderId="0" xfId="736" applyAlignment="1">
      <alignment horizontal="centerContinuous"/>
    </xf>
    <xf numFmtId="166" fontId="44" fillId="0" borderId="0" xfId="736" applyNumberFormat="1" applyProtection="1">
      <protection locked="0"/>
    </xf>
    <xf numFmtId="0" fontId="44" fillId="0" borderId="0" xfId="736" applyAlignment="1">
      <alignment horizontal="left"/>
    </xf>
    <xf numFmtId="0" fontId="44" fillId="0" borderId="0" xfId="1769"/>
    <xf numFmtId="39" fontId="44" fillId="0" borderId="0" xfId="1769" applyNumberFormat="1"/>
    <xf numFmtId="165" fontId="67" fillId="0" borderId="0" xfId="1769" applyNumberFormat="1" applyFont="1" applyAlignment="1">
      <alignment horizontal="left"/>
    </xf>
    <xf numFmtId="39" fontId="67" fillId="0" borderId="0" xfId="1769" applyNumberFormat="1" applyFont="1"/>
    <xf numFmtId="0" fontId="67" fillId="0" borderId="0" xfId="1769" applyFont="1"/>
    <xf numFmtId="0" fontId="44" fillId="0" borderId="0" xfId="1769" applyAlignment="1">
      <alignment horizontal="left"/>
    </xf>
    <xf numFmtId="39" fontId="44" fillId="0" borderId="0" xfId="1769" applyNumberFormat="1" applyAlignment="1">
      <alignment horizontal="center"/>
    </xf>
    <xf numFmtId="165" fontId="51" fillId="0" borderId="0" xfId="1769" applyNumberFormat="1" applyFont="1"/>
    <xf numFmtId="39" fontId="51" fillId="0" borderId="0" xfId="1769" applyNumberFormat="1" applyFont="1"/>
    <xf numFmtId="0" fontId="51" fillId="0" borderId="0" xfId="1769" applyFont="1"/>
    <xf numFmtId="39" fontId="51" fillId="0" borderId="0" xfId="1769" applyNumberFormat="1" applyFont="1" applyAlignment="1">
      <alignment horizontal="center"/>
    </xf>
    <xf numFmtId="44" fontId="51" fillId="0" borderId="0" xfId="1769" applyNumberFormat="1" applyFont="1"/>
    <xf numFmtId="8" fontId="51" fillId="0" borderId="0" xfId="1769" applyNumberFormat="1" applyFont="1"/>
    <xf numFmtId="40" fontId="51" fillId="0" borderId="0" xfId="1769" applyNumberFormat="1" applyFont="1"/>
    <xf numFmtId="43" fontId="44" fillId="0" borderId="0" xfId="1769" applyNumberFormat="1"/>
    <xf numFmtId="0" fontId="51" fillId="0" borderId="0" xfId="1769" applyFont="1" applyAlignment="1">
      <alignment horizontal="left"/>
    </xf>
    <xf numFmtId="0" fontId="44" fillId="0" borderId="0" xfId="1769" quotePrefix="1" applyAlignment="1">
      <alignment horizontal="left"/>
    </xf>
    <xf numFmtId="43" fontId="51" fillId="0" borderId="0" xfId="1769" applyNumberFormat="1" applyFont="1" applyAlignment="1">
      <alignment horizontal="right"/>
    </xf>
    <xf numFmtId="43" fontId="44" fillId="0" borderId="0" xfId="1769" applyNumberFormat="1" applyAlignment="1">
      <alignment horizontal="right"/>
    </xf>
    <xf numFmtId="39" fontId="44" fillId="0" borderId="26" xfId="1769" applyNumberFormat="1" applyBorder="1"/>
    <xf numFmtId="39" fontId="51" fillId="0" borderId="0" xfId="1769" quotePrefix="1" applyNumberFormat="1" applyFont="1" applyAlignment="1">
      <alignment horizontal="left"/>
    </xf>
    <xf numFmtId="4" fontId="51" fillId="0" borderId="0" xfId="1769" applyNumberFormat="1" applyFont="1"/>
    <xf numFmtId="0" fontId="84" fillId="0" borderId="0" xfId="1769" applyFont="1"/>
    <xf numFmtId="165" fontId="44" fillId="0" borderId="0" xfId="1769" applyNumberFormat="1" applyProtection="1">
      <protection locked="0"/>
    </xf>
    <xf numFmtId="0" fontId="58" fillId="0" borderId="0" xfId="1769" applyFont="1" applyAlignment="1">
      <alignment horizontal="left"/>
    </xf>
    <xf numFmtId="165" fontId="90" fillId="0" borderId="0" xfId="1769" applyNumberFormat="1" applyFont="1"/>
    <xf numFmtId="39" fontId="90" fillId="0" borderId="0" xfId="1769" applyNumberFormat="1" applyFont="1"/>
    <xf numFmtId="44" fontId="51" fillId="0" borderId="17" xfId="1769" applyNumberFormat="1" applyFont="1" applyBorder="1"/>
    <xf numFmtId="39" fontId="44" fillId="0" borderId="17" xfId="1769" applyNumberFormat="1" applyBorder="1"/>
    <xf numFmtId="43" fontId="44" fillId="0" borderId="17" xfId="1769" applyNumberFormat="1" applyBorder="1"/>
    <xf numFmtId="43" fontId="44" fillId="0" borderId="16" xfId="1769" applyNumberFormat="1" applyBorder="1"/>
    <xf numFmtId="43" fontId="51" fillId="0" borderId="17" xfId="1769" applyNumberFormat="1" applyFont="1" applyBorder="1"/>
    <xf numFmtId="43" fontId="51" fillId="0" borderId="0" xfId="1769" applyNumberFormat="1" applyFont="1"/>
    <xf numFmtId="43" fontId="94" fillId="0" borderId="0" xfId="1769" applyNumberFormat="1" applyFont="1"/>
    <xf numFmtId="43" fontId="51" fillId="0" borderId="16" xfId="1769" applyNumberFormat="1" applyFont="1" applyBorder="1"/>
    <xf numFmtId="39" fontId="44" fillId="0" borderId="16" xfId="1769" applyNumberFormat="1" applyBorder="1"/>
    <xf numFmtId="44" fontId="51" fillId="0" borderId="16" xfId="1769" applyNumberFormat="1" applyFont="1" applyBorder="1"/>
    <xf numFmtId="39" fontId="44" fillId="0" borderId="20" xfId="1769" applyNumberFormat="1" applyBorder="1"/>
    <xf numFmtId="165" fontId="47" fillId="0" borderId="0" xfId="837" applyNumberFormat="1" applyFont="1" applyProtection="1">
      <protection locked="0"/>
    </xf>
    <xf numFmtId="40" fontId="44" fillId="0" borderId="0" xfId="837" applyNumberFormat="1" applyFont="1" applyAlignment="1">
      <alignment horizontal="center"/>
    </xf>
    <xf numFmtId="189" fontId="44" fillId="0" borderId="0" xfId="8" applyNumberFormat="1" applyFont="1" applyAlignment="1">
      <alignment horizontal="center"/>
    </xf>
    <xf numFmtId="40" fontId="44" fillId="0" borderId="0" xfId="837" quotePrefix="1" applyNumberFormat="1" applyFont="1" applyAlignment="1">
      <alignment horizontal="center"/>
    </xf>
    <xf numFmtId="165" fontId="44" fillId="0" borderId="0" xfId="837" applyNumberFormat="1" applyFont="1"/>
    <xf numFmtId="39" fontId="44" fillId="0" borderId="0" xfId="837" applyNumberFormat="1" applyFont="1"/>
    <xf numFmtId="40" fontId="44" fillId="0" borderId="0" xfId="837" applyNumberFormat="1" applyFont="1"/>
    <xf numFmtId="42" fontId="44" fillId="0" borderId="0" xfId="837" applyNumberFormat="1" applyFont="1"/>
    <xf numFmtId="0" fontId="44" fillId="0" borderId="0" xfId="837" applyFont="1"/>
    <xf numFmtId="37" fontId="44" fillId="0" borderId="0" xfId="837" applyNumberFormat="1" applyFont="1"/>
    <xf numFmtId="189" fontId="44" fillId="0" borderId="0" xfId="8" applyNumberFormat="1" applyFont="1" applyAlignment="1"/>
    <xf numFmtId="41" fontId="44" fillId="0" borderId="0" xfId="837" applyNumberFormat="1" applyFont="1"/>
    <xf numFmtId="41" fontId="44" fillId="0" borderId="0" xfId="8" applyNumberFormat="1" applyFont="1" applyFill="1" applyAlignment="1"/>
    <xf numFmtId="41" fontId="44" fillId="0" borderId="0" xfId="837" quotePrefix="1" applyNumberFormat="1" applyFont="1" applyAlignment="1">
      <alignment horizontal="center"/>
    </xf>
    <xf numFmtId="41" fontId="44" fillId="0" borderId="0" xfId="8" applyNumberFormat="1" applyFont="1" applyAlignment="1"/>
    <xf numFmtId="41" fontId="44" fillId="0" borderId="0" xfId="837" applyNumberFormat="1" applyFont="1" applyAlignment="1">
      <alignment horizontal="right"/>
    </xf>
    <xf numFmtId="41" fontId="44" fillId="0" borderId="0" xfId="837" quotePrefix="1" applyNumberFormat="1" applyFont="1" applyAlignment="1">
      <alignment horizontal="right"/>
    </xf>
    <xf numFmtId="189" fontId="44" fillId="0" borderId="0" xfId="8" applyNumberFormat="1" applyFont="1" applyBorder="1" applyAlignment="1"/>
    <xf numFmtId="174" fontId="44" fillId="0" borderId="0" xfId="14" applyNumberFormat="1"/>
    <xf numFmtId="170" fontId="44" fillId="0" borderId="0" xfId="14" applyNumberFormat="1"/>
    <xf numFmtId="174" fontId="46" fillId="0" borderId="0" xfId="15" applyNumberFormat="1" applyAlignment="1">
      <alignment horizontal="center"/>
    </xf>
    <xf numFmtId="170" fontId="44" fillId="0" borderId="0" xfId="14" applyNumberFormat="1" applyProtection="1">
      <protection locked="0"/>
    </xf>
    <xf numFmtId="170" fontId="44" fillId="0" borderId="0" xfId="14" applyNumberFormat="1" applyAlignment="1">
      <alignment horizontal="right"/>
    </xf>
    <xf numFmtId="186" fontId="44" fillId="0" borderId="0" xfId="14" applyNumberFormat="1"/>
    <xf numFmtId="0" fontId="0" fillId="0" borderId="0" xfId="1" applyFont="1" applyAlignment="1">
      <alignment horizontal="right"/>
    </xf>
    <xf numFmtId="165" fontId="69" fillId="0" borderId="0" xfId="1" applyNumberFormat="1" applyFont="1" applyAlignment="1">
      <alignment horizontal="center"/>
    </xf>
    <xf numFmtId="193" fontId="44" fillId="0" borderId="0" xfId="1" applyNumberFormat="1" applyProtection="1">
      <protection locked="0"/>
    </xf>
    <xf numFmtId="39" fontId="72" fillId="0" borderId="0" xfId="1769" applyNumberFormat="1" applyFont="1" applyAlignment="1">
      <alignment horizontal="right" vertical="top"/>
    </xf>
    <xf numFmtId="0" fontId="72" fillId="0" borderId="0" xfId="1769" applyFont="1" applyAlignment="1">
      <alignment horizontal="left"/>
    </xf>
    <xf numFmtId="0" fontId="51" fillId="0" borderId="0" xfId="1769" applyFont="1" applyAlignment="1">
      <alignment horizontal="left" vertical="top"/>
    </xf>
    <xf numFmtId="0" fontId="72" fillId="0" borderId="0" xfId="1769" applyFont="1" applyAlignment="1">
      <alignment horizontal="center"/>
    </xf>
    <xf numFmtId="39" fontId="47" fillId="0" borderId="0" xfId="1769" applyNumberFormat="1" applyFont="1" applyAlignment="1">
      <alignment horizontal="centerContinuous"/>
    </xf>
    <xf numFmtId="0" fontId="67" fillId="0" borderId="0" xfId="1769" applyFont="1" applyAlignment="1">
      <alignment horizontal="left"/>
    </xf>
    <xf numFmtId="0" fontId="44" fillId="0" borderId="0" xfId="1769" applyAlignment="1">
      <alignment horizontal="center"/>
    </xf>
    <xf numFmtId="170" fontId="44" fillId="0" borderId="0" xfId="0" quotePrefix="1" applyNumberFormat="1" applyFont="1" applyAlignment="1">
      <alignment horizontal="right"/>
    </xf>
    <xf numFmtId="0" fontId="163" fillId="0" borderId="0" xfId="858" applyNumberFormat="1" applyFont="1" applyAlignment="1" applyProtection="1"/>
    <xf numFmtId="0" fontId="163" fillId="0" borderId="0" xfId="857" applyFont="1"/>
    <xf numFmtId="0" fontId="164" fillId="0" borderId="0" xfId="857" applyFont="1"/>
    <xf numFmtId="0" fontId="163" fillId="0" borderId="0" xfId="858" quotePrefix="1" applyNumberFormat="1" applyFont="1" applyBorder="1" applyAlignment="1" applyProtection="1">
      <alignment horizontal="left"/>
    </xf>
    <xf numFmtId="0" fontId="163" fillId="0" borderId="0" xfId="858" applyNumberFormat="1" applyFont="1" applyBorder="1" applyAlignment="1" applyProtection="1"/>
    <xf numFmtId="0" fontId="147" fillId="0" borderId="0" xfId="858" applyNumberFormat="1" applyAlignment="1" applyProtection="1"/>
    <xf numFmtId="170" fontId="44" fillId="0" borderId="27" xfId="1" applyNumberFormat="1" applyBorder="1"/>
    <xf numFmtId="164" fontId="44" fillId="0" borderId="0" xfId="1933" applyNumberFormat="1" applyFont="1" applyAlignment="1"/>
    <xf numFmtId="164" fontId="51" fillId="0" borderId="45" xfId="1933" applyNumberFormat="1" applyFont="1" applyBorder="1" applyAlignment="1"/>
    <xf numFmtId="174" fontId="44" fillId="0" borderId="14" xfId="1" applyNumberFormat="1" applyBorder="1"/>
    <xf numFmtId="170" fontId="44" fillId="0" borderId="17" xfId="1" applyNumberFormat="1" applyBorder="1"/>
    <xf numFmtId="170" fontId="44" fillId="0" borderId="16" xfId="1" applyNumberFormat="1" applyBorder="1"/>
    <xf numFmtId="170" fontId="44" fillId="0" borderId="14" xfId="1" applyNumberFormat="1" applyBorder="1"/>
    <xf numFmtId="43" fontId="44" fillId="0" borderId="0" xfId="1" applyNumberFormat="1"/>
    <xf numFmtId="170" fontId="44" fillId="0" borderId="14" xfId="1" quotePrefix="1" applyNumberFormat="1" applyBorder="1" applyAlignment="1">
      <alignment horizontal="right"/>
    </xf>
    <xf numFmtId="170" fontId="44" fillId="0" borderId="14" xfId="1" quotePrefix="1" applyNumberFormat="1" applyBorder="1"/>
    <xf numFmtId="0" fontId="44" fillId="0" borderId="0" xfId="1" quotePrefix="1" applyAlignment="1">
      <alignment horizontal="right"/>
    </xf>
    <xf numFmtId="165" fontId="44" fillId="0" borderId="0" xfId="1" applyNumberFormat="1" applyAlignment="1">
      <alignment horizontal="right"/>
    </xf>
    <xf numFmtId="170" fontId="44" fillId="0" borderId="0" xfId="0" applyNumberFormat="1" applyFont="1" applyAlignment="1">
      <alignment horizontal="right"/>
    </xf>
    <xf numFmtId="0" fontId="51" fillId="0" borderId="0" xfId="1" applyFont="1" applyAlignment="1" applyProtection="1">
      <alignment horizontal="center"/>
      <protection locked="0"/>
    </xf>
    <xf numFmtId="164" fontId="44" fillId="0" borderId="45" xfId="0" applyFont="1" applyBorder="1"/>
    <xf numFmtId="164" fontId="44" fillId="0" borderId="45" xfId="1" applyNumberFormat="1" applyBorder="1" applyAlignment="1">
      <alignment horizontal="right"/>
    </xf>
    <xf numFmtId="164" fontId="44" fillId="0" borderId="0" xfId="1" applyNumberFormat="1" applyAlignment="1">
      <alignment horizontal="right"/>
    </xf>
    <xf numFmtId="164" fontId="51" fillId="0" borderId="45" xfId="1" applyNumberFormat="1" applyFont="1" applyBorder="1" applyAlignment="1">
      <alignment horizontal="right"/>
    </xf>
    <xf numFmtId="164" fontId="51" fillId="0" borderId="25" xfId="0" applyFont="1" applyBorder="1"/>
    <xf numFmtId="164" fontId="51" fillId="0" borderId="45" xfId="0" applyFont="1" applyBorder="1"/>
    <xf numFmtId="172" fontId="51" fillId="0" borderId="45" xfId="0" applyNumberFormat="1" applyFont="1" applyBorder="1"/>
    <xf numFmtId="0" fontId="72" fillId="0" borderId="0" xfId="1" quotePrefix="1" applyFont="1" applyAlignment="1">
      <alignment horizontal="left"/>
    </xf>
    <xf numFmtId="41" fontId="44" fillId="0" borderId="0" xfId="736" applyNumberFormat="1"/>
    <xf numFmtId="172" fontId="44" fillId="0" borderId="0" xfId="0" applyNumberFormat="1" applyFont="1"/>
    <xf numFmtId="172" fontId="51" fillId="0" borderId="0" xfId="0" applyNumberFormat="1" applyFont="1"/>
    <xf numFmtId="0" fontId="139" fillId="0" borderId="0" xfId="5" applyFont="1"/>
    <xf numFmtId="0" fontId="44" fillId="0" borderId="0" xfId="5" applyFont="1"/>
    <xf numFmtId="41" fontId="49" fillId="0" borderId="0" xfId="17915" applyNumberFormat="1" applyFont="1" applyFill="1"/>
    <xf numFmtId="172" fontId="44" fillId="0" borderId="0" xfId="1933" applyNumberFormat="1" applyFont="1" applyBorder="1" applyAlignment="1" applyProtection="1"/>
    <xf numFmtId="0" fontId="50" fillId="0" borderId="0" xfId="9958" applyFont="1" applyAlignment="1">
      <alignment horizontal="center"/>
    </xf>
    <xf numFmtId="43" fontId="50" fillId="0" borderId="0" xfId="9958" applyNumberFormat="1" applyFont="1" applyAlignment="1">
      <alignment horizontal="center"/>
    </xf>
    <xf numFmtId="0" fontId="50" fillId="0" borderId="0" xfId="9958" quotePrefix="1" applyFont="1" applyAlignment="1">
      <alignment horizontal="center"/>
    </xf>
    <xf numFmtId="0" fontId="45" fillId="0" borderId="0" xfId="1" quotePrefix="1" applyFont="1" applyAlignment="1">
      <alignment horizontal="left"/>
    </xf>
    <xf numFmtId="0" fontId="44" fillId="0" borderId="0" xfId="5509" applyFont="1"/>
    <xf numFmtId="170" fontId="44" fillId="0" borderId="0" xfId="5509" applyNumberFormat="1" applyFont="1"/>
    <xf numFmtId="185" fontId="50" fillId="0" borderId="47" xfId="857" quotePrefix="1" applyNumberFormat="1" applyFont="1" applyBorder="1" applyAlignment="1">
      <alignment horizontal="centerContinuous"/>
    </xf>
    <xf numFmtId="37" fontId="175" fillId="0" borderId="0" xfId="1" applyNumberFormat="1" applyFont="1"/>
    <xf numFmtId="174" fontId="175" fillId="0" borderId="0" xfId="1" applyNumberFormat="1" applyFont="1"/>
    <xf numFmtId="0" fontId="50" fillId="0" borderId="0" xfId="0" quotePrefix="1" applyNumberFormat="1" applyFont="1" applyAlignment="1">
      <alignment horizontal="left"/>
    </xf>
    <xf numFmtId="0" fontId="64" fillId="0" borderId="0" xfId="1" quotePrefix="1" applyFont="1" applyAlignment="1">
      <alignment horizontal="center"/>
    </xf>
    <xf numFmtId="44" fontId="49" fillId="0" borderId="0" xfId="0" applyNumberFormat="1" applyFont="1"/>
    <xf numFmtId="0" fontId="98" fillId="0" borderId="0" xfId="5"/>
    <xf numFmtId="172" fontId="0" fillId="0" borderId="0" xfId="0" applyNumberFormat="1"/>
    <xf numFmtId="40" fontId="71" fillId="0" borderId="0" xfId="25852" applyNumberFormat="1" applyFont="1"/>
    <xf numFmtId="39" fontId="71" fillId="0" borderId="0" xfId="25852" applyNumberFormat="1" applyFont="1"/>
    <xf numFmtId="165" fontId="84" fillId="0" borderId="0" xfId="837" applyNumberFormat="1" applyFont="1"/>
    <xf numFmtId="0" fontId="84" fillId="0" borderId="0" xfId="837" applyFont="1" applyAlignment="1">
      <alignment horizontal="left"/>
    </xf>
    <xf numFmtId="164" fontId="162" fillId="0" borderId="0" xfId="0" applyFont="1"/>
    <xf numFmtId="0" fontId="72" fillId="0" borderId="0" xfId="17020" quotePrefix="1" applyFont="1" applyAlignment="1">
      <alignment horizontal="left"/>
    </xf>
    <xf numFmtId="0" fontId="50" fillId="0" borderId="0" xfId="0" applyNumberFormat="1" applyFont="1" applyAlignment="1">
      <alignment horizontal="right"/>
    </xf>
    <xf numFmtId="0" fontId="50" fillId="0" borderId="0" xfId="0" quotePrefix="1" applyNumberFormat="1" applyFont="1"/>
    <xf numFmtId="0" fontId="50" fillId="0" borderId="0" xfId="0" applyNumberFormat="1" applyFont="1" applyAlignment="1">
      <alignment horizontal="right" vertical="top"/>
    </xf>
    <xf numFmtId="0" fontId="51" fillId="0" borderId="0" xfId="5500" applyFont="1"/>
    <xf numFmtId="0" fontId="44" fillId="0" borderId="0" xfId="5500" applyFont="1"/>
    <xf numFmtId="172" fontId="51" fillId="0" borderId="45" xfId="1933" applyNumberFormat="1" applyFont="1" applyBorder="1" applyAlignment="1" applyProtection="1"/>
    <xf numFmtId="190" fontId="56" fillId="0" borderId="0" xfId="5" quotePrefix="1" applyNumberFormat="1" applyFont="1" applyAlignment="1">
      <alignment horizontal="right"/>
    </xf>
    <xf numFmtId="166" fontId="56" fillId="0" borderId="0" xfId="5" quotePrefix="1" applyNumberFormat="1" applyFont="1" applyAlignment="1">
      <alignment horizontal="right"/>
    </xf>
    <xf numFmtId="166" fontId="56" fillId="0" borderId="0" xfId="5" applyNumberFormat="1" applyFont="1" applyAlignment="1">
      <alignment horizontal="right" vertical="top"/>
    </xf>
    <xf numFmtId="165" fontId="56" fillId="0" borderId="0" xfId="5" quotePrefix="1" applyNumberFormat="1" applyFont="1" applyAlignment="1">
      <alignment horizontal="right"/>
    </xf>
    <xf numFmtId="0" fontId="56" fillId="0" borderId="0" xfId="5" quotePrefix="1" applyFont="1"/>
    <xf numFmtId="0" fontId="138" fillId="0" borderId="0" xfId="5" applyFont="1" applyAlignment="1">
      <alignment horizontal="left"/>
    </xf>
    <xf numFmtId="0" fontId="147" fillId="0" borderId="0" xfId="858" applyNumberFormat="1" applyBorder="1" applyAlignment="1" applyProtection="1"/>
    <xf numFmtId="0" fontId="51" fillId="0" borderId="0" xfId="1769" applyFont="1" applyAlignment="1">
      <alignment horizontal="center"/>
    </xf>
    <xf numFmtId="0" fontId="44" fillId="0" borderId="45" xfId="1" applyBorder="1" applyAlignment="1">
      <alignment horizontal="center"/>
    </xf>
    <xf numFmtId="37" fontId="51" fillId="0" borderId="45" xfId="1" quotePrefix="1" applyNumberFormat="1" applyFont="1" applyBorder="1" applyAlignment="1">
      <alignment horizontal="center"/>
    </xf>
    <xf numFmtId="41" fontId="49" fillId="0" borderId="0" xfId="0" applyNumberFormat="1" applyFont="1"/>
    <xf numFmtId="167" fontId="44" fillId="0" borderId="0" xfId="1" quotePrefix="1" applyNumberFormat="1" applyAlignment="1">
      <alignment horizontal="center"/>
    </xf>
    <xf numFmtId="192" fontId="44" fillId="0" borderId="0" xfId="1" quotePrefix="1" applyNumberFormat="1" applyAlignment="1">
      <alignment horizontal="center"/>
    </xf>
    <xf numFmtId="169" fontId="56" fillId="0" borderId="0" xfId="5" quotePrefix="1" applyNumberFormat="1" applyFont="1" applyAlignment="1">
      <alignment horizontal="right"/>
    </xf>
    <xf numFmtId="177" fontId="67" fillId="0" borderId="0" xfId="737" applyNumberFormat="1" applyFont="1" applyAlignment="1">
      <alignment horizontal="right"/>
    </xf>
    <xf numFmtId="179" fontId="67" fillId="0" borderId="0" xfId="737" applyNumberFormat="1" applyFont="1" applyAlignment="1">
      <alignment horizontal="center"/>
    </xf>
    <xf numFmtId="177" fontId="67" fillId="0" borderId="0" xfId="737" applyNumberFormat="1" applyFont="1" applyAlignment="1">
      <alignment horizontal="left"/>
    </xf>
    <xf numFmtId="177" fontId="67" fillId="0" borderId="0" xfId="737" applyNumberFormat="1" applyFont="1" applyAlignment="1">
      <alignment horizontal="center"/>
    </xf>
    <xf numFmtId="164" fontId="44" fillId="0" borderId="0" xfId="1933" applyNumberFormat="1" applyFont="1" applyFill="1" applyAlignment="1">
      <alignment horizontal="right"/>
    </xf>
    <xf numFmtId="41" fontId="51" fillId="0" borderId="61" xfId="837" applyNumberFormat="1" applyFont="1" applyBorder="1"/>
    <xf numFmtId="39" fontId="71" fillId="0" borderId="0" xfId="16" applyNumberFormat="1" applyFont="1"/>
    <xf numFmtId="189" fontId="109" fillId="0" borderId="0" xfId="8" applyNumberFormat="1" applyFont="1" applyFill="1" applyAlignment="1">
      <alignment horizontal="right"/>
    </xf>
    <xf numFmtId="189" fontId="157" fillId="0" borderId="0" xfId="8" applyNumberFormat="1" applyFont="1" applyFill="1" applyAlignment="1">
      <alignment horizontal="right"/>
    </xf>
    <xf numFmtId="189" fontId="44" fillId="0" borderId="0" xfId="8" applyNumberFormat="1" applyFont="1" applyFill="1" applyAlignment="1">
      <alignment horizontal="center"/>
    </xf>
    <xf numFmtId="189" fontId="44" fillId="0" borderId="0" xfId="8" applyNumberFormat="1" applyFont="1" applyFill="1" applyAlignment="1"/>
    <xf numFmtId="41" fontId="71" fillId="0" borderId="0" xfId="837" applyNumberFormat="1" applyFont="1"/>
    <xf numFmtId="41" fontId="51" fillId="0" borderId="61" xfId="837" quotePrefix="1" applyNumberFormat="1" applyFont="1" applyBorder="1"/>
    <xf numFmtId="189" fontId="44" fillId="0" borderId="0" xfId="8" applyNumberFormat="1" applyFont="1" applyFill="1" applyBorder="1" applyAlignment="1"/>
    <xf numFmtId="0" fontId="67" fillId="0" borderId="0" xfId="837" quotePrefix="1" applyFont="1" applyAlignment="1">
      <alignment horizontal="left"/>
    </xf>
    <xf numFmtId="189" fontId="49" fillId="0" borderId="0" xfId="8" applyNumberFormat="1" applyFont="1" applyFill="1" applyAlignment="1"/>
    <xf numFmtId="40" fontId="71" fillId="0" borderId="0" xfId="16" applyNumberFormat="1" applyFont="1"/>
    <xf numFmtId="189" fontId="71" fillId="0" borderId="0" xfId="8" applyNumberFormat="1" applyFont="1" applyFill="1" applyAlignment="1"/>
    <xf numFmtId="174" fontId="44" fillId="0" borderId="0" xfId="5509" applyNumberFormat="1" applyFont="1"/>
    <xf numFmtId="172" fontId="44" fillId="0" borderId="0" xfId="1" applyNumberFormat="1"/>
    <xf numFmtId="170" fontId="51" fillId="0" borderId="45" xfId="5509" applyNumberFormat="1" applyFont="1" applyBorder="1"/>
    <xf numFmtId="170" fontId="51" fillId="0" borderId="0" xfId="1043" applyNumberFormat="1" applyFont="1" applyFill="1" applyBorder="1"/>
    <xf numFmtId="170" fontId="160" fillId="0" borderId="0" xfId="1" applyNumberFormat="1" applyFont="1"/>
    <xf numFmtId="172" fontId="51" fillId="0" borderId="45" xfId="1" applyNumberFormat="1" applyFont="1" applyBorder="1"/>
    <xf numFmtId="39" fontId="44" fillId="0" borderId="64" xfId="837" applyNumberFormat="1" applyFont="1" applyBorder="1"/>
    <xf numFmtId="41" fontId="44" fillId="0" borderId="0" xfId="837" quotePrefix="1" applyNumberFormat="1" applyFont="1"/>
    <xf numFmtId="41" fontId="44" fillId="0" borderId="65" xfId="837" quotePrefix="1" applyNumberFormat="1" applyFont="1" applyBorder="1" applyAlignment="1">
      <alignment horizontal="center"/>
    </xf>
    <xf numFmtId="170" fontId="44" fillId="0" borderId="64" xfId="1" applyNumberFormat="1" applyBorder="1"/>
    <xf numFmtId="170" fontId="51" fillId="0" borderId="66" xfId="1" applyNumberFormat="1" applyFont="1" applyBorder="1"/>
    <xf numFmtId="170" fontId="51" fillId="0" borderId="64" xfId="1" applyNumberFormat="1" applyFont="1" applyBorder="1"/>
    <xf numFmtId="192" fontId="51" fillId="0" borderId="0" xfId="1" quotePrefix="1" applyNumberFormat="1" applyFont="1" applyAlignment="1">
      <alignment horizontal="center"/>
    </xf>
    <xf numFmtId="195" fontId="44" fillId="0" borderId="0" xfId="736" applyNumberFormat="1" applyProtection="1">
      <protection locked="0"/>
    </xf>
    <xf numFmtId="195" fontId="44" fillId="0" borderId="0" xfId="736" applyNumberFormat="1"/>
    <xf numFmtId="195" fontId="96" fillId="0" borderId="0" xfId="736" applyNumberFormat="1" applyFont="1"/>
    <xf numFmtId="39" fontId="44" fillId="0" borderId="64" xfId="1769" applyNumberFormat="1" applyBorder="1"/>
    <xf numFmtId="43" fontId="51" fillId="0" borderId="63" xfId="1769" applyNumberFormat="1" applyFont="1" applyBorder="1"/>
    <xf numFmtId="43" fontId="44" fillId="0" borderId="64" xfId="1769" applyNumberFormat="1" applyBorder="1"/>
    <xf numFmtId="43" fontId="51" fillId="0" borderId="64" xfId="1769" applyNumberFormat="1" applyFont="1" applyBorder="1"/>
    <xf numFmtId="43" fontId="51" fillId="0" borderId="61" xfId="1769" applyNumberFormat="1" applyFont="1" applyBorder="1"/>
    <xf numFmtId="0" fontId="51" fillId="0" borderId="64" xfId="14" applyNumberFormat="1" applyFont="1" applyBorder="1"/>
    <xf numFmtId="174" fontId="51" fillId="0" borderId="54" xfId="14" applyNumberFormat="1" applyFont="1" applyBorder="1"/>
    <xf numFmtId="180" fontId="49" fillId="0" borderId="0" xfId="1769" applyNumberFormat="1" applyFont="1"/>
    <xf numFmtId="180" fontId="72" fillId="0" borderId="0" xfId="1769" applyNumberFormat="1" applyFont="1"/>
    <xf numFmtId="180" fontId="67" fillId="0" borderId="0" xfId="1769" applyNumberFormat="1" applyFont="1"/>
    <xf numFmtId="180" fontId="72" fillId="0" borderId="0" xfId="1769" quotePrefix="1" applyNumberFormat="1" applyFont="1" applyAlignment="1">
      <alignment horizontal="left"/>
    </xf>
    <xf numFmtId="180" fontId="72" fillId="0" borderId="0" xfId="1769" applyNumberFormat="1" applyFont="1" applyAlignment="1">
      <alignment horizontal="center"/>
    </xf>
    <xf numFmtId="180" fontId="103" fillId="0" borderId="0" xfId="1769" applyNumberFormat="1" applyFont="1" applyAlignment="1">
      <alignment horizontal="center"/>
    </xf>
    <xf numFmtId="180" fontId="72" fillId="0" borderId="0" xfId="1769" quotePrefix="1" applyNumberFormat="1" applyFont="1" applyAlignment="1">
      <alignment horizontal="center"/>
    </xf>
    <xf numFmtId="180" fontId="72" fillId="0" borderId="64" xfId="1769" applyNumberFormat="1" applyFont="1" applyBorder="1" applyAlignment="1">
      <alignment horizontal="center"/>
    </xf>
    <xf numFmtId="180" fontId="72" fillId="0" borderId="64" xfId="1769" quotePrefix="1" applyNumberFormat="1" applyFont="1" applyBorder="1" applyAlignment="1">
      <alignment horizontal="fill"/>
    </xf>
    <xf numFmtId="180" fontId="103" fillId="0" borderId="0" xfId="1769" applyNumberFormat="1" applyFont="1"/>
    <xf numFmtId="179" fontId="67" fillId="0" borderId="0" xfId="1769" applyNumberFormat="1" applyFont="1" applyAlignment="1">
      <alignment horizontal="right"/>
    </xf>
    <xf numFmtId="180" fontId="67" fillId="0" borderId="0" xfId="1769" quotePrefix="1" applyNumberFormat="1" applyFont="1" applyAlignment="1">
      <alignment horizontal="left"/>
    </xf>
    <xf numFmtId="177" fontId="67" fillId="0" borderId="0" xfId="1769" applyNumberFormat="1" applyFont="1"/>
    <xf numFmtId="177" fontId="67" fillId="0" borderId="0" xfId="1769" applyNumberFormat="1" applyFont="1" applyAlignment="1">
      <alignment horizontal="right"/>
    </xf>
    <xf numFmtId="180" fontId="72" fillId="0" borderId="0" xfId="1769" applyNumberFormat="1" applyFont="1" applyAlignment="1">
      <alignment horizontal="left"/>
    </xf>
    <xf numFmtId="179" fontId="72" fillId="0" borderId="67" xfId="1769" applyNumberFormat="1" applyFont="1" applyBorder="1" applyAlignment="1">
      <alignment horizontal="right"/>
    </xf>
    <xf numFmtId="180" fontId="50" fillId="0" borderId="0" xfId="1769" applyNumberFormat="1" applyFont="1"/>
    <xf numFmtId="180" fontId="49" fillId="0" borderId="0" xfId="1769" quotePrefix="1" applyNumberFormat="1" applyFont="1" applyAlignment="1">
      <alignment horizontal="left" wrapText="1"/>
    </xf>
    <xf numFmtId="180" fontId="49" fillId="0" borderId="0" xfId="1769" applyNumberFormat="1" applyFont="1" applyAlignment="1">
      <alignment horizontal="right"/>
    </xf>
    <xf numFmtId="39" fontId="49" fillId="0" borderId="0" xfId="1769" applyNumberFormat="1" applyFont="1"/>
    <xf numFmtId="180" fontId="49" fillId="0" borderId="0" xfId="1769" quotePrefix="1" applyNumberFormat="1" applyFont="1" applyAlignment="1">
      <alignment horizontal="left"/>
    </xf>
    <xf numFmtId="39" fontId="49" fillId="0" borderId="0" xfId="1769" quotePrefix="1" applyNumberFormat="1" applyFont="1" applyAlignment="1">
      <alignment horizontal="center"/>
    </xf>
    <xf numFmtId="39" fontId="49" fillId="0" borderId="0" xfId="1769" quotePrefix="1" applyNumberFormat="1" applyFont="1" applyAlignment="1">
      <alignment horizontal="right"/>
    </xf>
    <xf numFmtId="180" fontId="50" fillId="0" borderId="0" xfId="1769" quotePrefix="1" applyNumberFormat="1" applyFont="1" applyAlignment="1">
      <alignment horizontal="left"/>
    </xf>
    <xf numFmtId="180" fontId="49" fillId="0" borderId="0" xfId="1769" applyNumberFormat="1" applyFont="1" applyAlignment="1">
      <alignment horizontal="left"/>
    </xf>
    <xf numFmtId="39" fontId="50" fillId="0" borderId="0" xfId="1769" quotePrefix="1" applyNumberFormat="1" applyFont="1" applyAlignment="1">
      <alignment horizontal="center"/>
    </xf>
    <xf numFmtId="39" fontId="50" fillId="0" borderId="0" xfId="1769" applyNumberFormat="1" applyFont="1"/>
    <xf numFmtId="40" fontId="51" fillId="0" borderId="0" xfId="837" quotePrefix="1" applyNumberFormat="1" applyFont="1" applyAlignment="1">
      <alignment horizontal="center"/>
    </xf>
    <xf numFmtId="0" fontId="51" fillId="0" borderId="0" xfId="14" applyNumberFormat="1" applyFont="1" applyAlignment="1">
      <alignment horizontal="left"/>
    </xf>
    <xf numFmtId="0" fontId="44" fillId="0" borderId="0" xfId="14" applyNumberFormat="1" applyAlignment="1" applyProtection="1">
      <alignment horizontal="left"/>
      <protection locked="0"/>
    </xf>
    <xf numFmtId="0" fontId="51" fillId="0" borderId="0" xfId="14" applyNumberFormat="1" applyFont="1" applyAlignment="1" applyProtection="1">
      <alignment horizontal="left"/>
      <protection locked="0"/>
    </xf>
    <xf numFmtId="189" fontId="162" fillId="0" borderId="0" xfId="17915" applyNumberFormat="1" applyFont="1" applyFill="1"/>
    <xf numFmtId="189" fontId="49" fillId="0" borderId="0" xfId="17915" applyNumberFormat="1" applyFont="1" applyFill="1"/>
    <xf numFmtId="170" fontId="51" fillId="0" borderId="0" xfId="17915" applyNumberFormat="1" applyFont="1" applyBorder="1" applyAlignment="1"/>
    <xf numFmtId="0" fontId="72" fillId="0" borderId="0" xfId="1769" quotePrefix="1" applyFont="1" applyAlignment="1">
      <alignment horizontal="left"/>
    </xf>
    <xf numFmtId="0" fontId="72" fillId="0" borderId="0" xfId="1769" quotePrefix="1" applyFont="1" applyAlignment="1">
      <alignment horizontal="center"/>
    </xf>
    <xf numFmtId="0" fontId="51" fillId="0" borderId="0" xfId="1769" quotePrefix="1" applyFont="1" applyAlignment="1">
      <alignment horizontal="center"/>
    </xf>
    <xf numFmtId="170" fontId="44" fillId="0" borderId="0" xfId="1043" applyNumberFormat="1" applyFont="1" applyFill="1" applyProtection="1"/>
    <xf numFmtId="166" fontId="44" fillId="0" borderId="17" xfId="1" applyNumberFormat="1" applyBorder="1"/>
    <xf numFmtId="166" fontId="51" fillId="0" borderId="17" xfId="1" applyNumberFormat="1" applyFont="1" applyBorder="1"/>
    <xf numFmtId="170" fontId="51" fillId="0" borderId="16" xfId="1" applyNumberFormat="1" applyFont="1" applyBorder="1"/>
    <xf numFmtId="170" fontId="51" fillId="0" borderId="0" xfId="4" applyNumberFormat="1" applyFont="1" applyFill="1" applyBorder="1" applyProtection="1"/>
    <xf numFmtId="0" fontId="51" fillId="0" borderId="16" xfId="1" applyFont="1" applyBorder="1"/>
    <xf numFmtId="173" fontId="44" fillId="0" borderId="0" xfId="737" quotePrefix="1" applyNumberFormat="1" applyFont="1" applyAlignment="1">
      <alignment horizontal="left"/>
    </xf>
    <xf numFmtId="170" fontId="51" fillId="0" borderId="69" xfId="1" applyNumberFormat="1" applyFont="1" applyBorder="1"/>
    <xf numFmtId="174" fontId="51" fillId="0" borderId="54" xfId="1" applyNumberFormat="1" applyFont="1" applyBorder="1"/>
    <xf numFmtId="0" fontId="56" fillId="0" borderId="0" xfId="5" applyFont="1" applyAlignment="1">
      <alignment horizontal="left" vertical="top"/>
    </xf>
    <xf numFmtId="172" fontId="51" fillId="0" borderId="45" xfId="1933" applyNumberFormat="1" applyFont="1" applyBorder="1" applyAlignment="1"/>
    <xf numFmtId="172" fontId="51" fillId="0" borderId="0" xfId="1933" applyNumberFormat="1" applyFont="1" applyBorder="1" applyAlignment="1"/>
    <xf numFmtId="0" fontId="44" fillId="0" borderId="0" xfId="0" applyNumberFormat="1" applyFont="1" applyAlignment="1">
      <alignment horizontal="left"/>
    </xf>
    <xf numFmtId="0" fontId="44" fillId="0" borderId="0" xfId="14" applyNumberFormat="1" applyAlignment="1">
      <alignment horizontal="center"/>
    </xf>
    <xf numFmtId="5" fontId="44" fillId="0" borderId="0" xfId="1" applyNumberFormat="1"/>
    <xf numFmtId="43" fontId="44" fillId="0" borderId="0" xfId="17915" applyFont="1" applyFill="1" applyAlignment="1" applyProtection="1">
      <alignment horizontal="right"/>
    </xf>
    <xf numFmtId="170" fontId="65" fillId="0" borderId="0" xfId="1" applyNumberFormat="1" applyFont="1" applyAlignment="1">
      <alignment horizontal="center"/>
    </xf>
    <xf numFmtId="4" fontId="51" fillId="0" borderId="0" xfId="1025" quotePrefix="1" applyNumberFormat="1" applyFont="1" applyAlignment="1">
      <alignment horizontal="left"/>
    </xf>
    <xf numFmtId="180" fontId="51" fillId="0" borderId="0" xfId="1769" quotePrefix="1" applyNumberFormat="1" applyFont="1" applyAlignment="1">
      <alignment horizontal="left"/>
    </xf>
    <xf numFmtId="42" fontId="44" fillId="0" borderId="0" xfId="0" quotePrefix="1" applyNumberFormat="1" applyFont="1"/>
    <xf numFmtId="164" fontId="153" fillId="0" borderId="0" xfId="0" applyFont="1"/>
    <xf numFmtId="190" fontId="56" fillId="0" borderId="0" xfId="5" applyNumberFormat="1" applyFont="1" applyAlignment="1">
      <alignment horizontal="right" vertical="top"/>
    </xf>
    <xf numFmtId="165" fontId="51" fillId="0" borderId="0" xfId="1" applyNumberFormat="1" applyFont="1" applyAlignment="1">
      <alignment horizontal="right"/>
    </xf>
    <xf numFmtId="177" fontId="51" fillId="0" borderId="0" xfId="737" quotePrefix="1" applyNumberFormat="1" applyFont="1" applyAlignment="1">
      <alignment horizontal="center"/>
    </xf>
    <xf numFmtId="0" fontId="81" fillId="0" borderId="0" xfId="833" applyFont="1"/>
    <xf numFmtId="184" fontId="67" fillId="0" borderId="0" xfId="833" applyNumberFormat="1" applyFont="1"/>
    <xf numFmtId="179" fontId="72" fillId="0" borderId="15" xfId="833" applyNumberFormat="1" applyFont="1" applyBorder="1" applyAlignment="1">
      <alignment horizontal="right"/>
    </xf>
    <xf numFmtId="184" fontId="67" fillId="0" borderId="20" xfId="833" applyNumberFormat="1" applyFont="1" applyBorder="1"/>
    <xf numFmtId="165" fontId="81" fillId="0" borderId="0" xfId="833" applyNumberFormat="1" applyFont="1"/>
    <xf numFmtId="165" fontId="69" fillId="0" borderId="45" xfId="1" applyNumberFormat="1" applyFont="1" applyBorder="1" applyAlignment="1" applyProtection="1">
      <alignment horizontal="centerContinuous"/>
      <protection locked="0"/>
    </xf>
    <xf numFmtId="43" fontId="51" fillId="0" borderId="10" xfId="1769" applyNumberFormat="1" applyFont="1" applyBorder="1"/>
    <xf numFmtId="166" fontId="44" fillId="0" borderId="0" xfId="0" applyNumberFormat="1" applyFont="1" applyAlignment="1">
      <alignment horizontal="left"/>
    </xf>
    <xf numFmtId="170" fontId="71" fillId="0" borderId="0" xfId="1" applyNumberFormat="1" applyFont="1"/>
    <xf numFmtId="164" fontId="71" fillId="0" borderId="0" xfId="1" applyNumberFormat="1" applyFont="1"/>
    <xf numFmtId="165" fontId="72" fillId="0" borderId="0" xfId="1" applyNumberFormat="1" applyFont="1" applyAlignment="1">
      <alignment horizontal="right"/>
    </xf>
    <xf numFmtId="1" fontId="51" fillId="0" borderId="0" xfId="1" quotePrefix="1" applyNumberFormat="1" applyFont="1" applyAlignment="1">
      <alignment horizontal="center"/>
    </xf>
    <xf numFmtId="165" fontId="71" fillId="0" borderId="14" xfId="1" applyNumberFormat="1" applyFont="1" applyBorder="1"/>
    <xf numFmtId="169" fontId="51" fillId="0" borderId="17" xfId="1" applyNumberFormat="1" applyFont="1" applyBorder="1"/>
    <xf numFmtId="169" fontId="79" fillId="0" borderId="14" xfId="1" applyNumberFormat="1" applyFont="1" applyBorder="1"/>
    <xf numFmtId="169" fontId="50" fillId="0" borderId="0" xfId="1" applyNumberFormat="1" applyFont="1"/>
    <xf numFmtId="170" fontId="71" fillId="0" borderId="14" xfId="1" applyNumberFormat="1" applyFont="1" applyBorder="1"/>
    <xf numFmtId="170" fontId="79" fillId="0" borderId="14" xfId="1" applyNumberFormat="1" applyFont="1" applyBorder="1"/>
    <xf numFmtId="170" fontId="51" fillId="0" borderId="45" xfId="1043" applyNumberFormat="1" applyFont="1" applyFill="1" applyBorder="1" applyProtection="1"/>
    <xf numFmtId="170" fontId="44" fillId="0" borderId="14" xfId="0" quotePrefix="1" applyNumberFormat="1" applyFont="1" applyBorder="1" applyAlignment="1">
      <alignment horizontal="right"/>
    </xf>
    <xf numFmtId="170" fontId="53" fillId="0" borderId="0" xfId="1" applyNumberFormat="1" applyFont="1" applyAlignment="1">
      <alignment horizontal="right"/>
    </xf>
    <xf numFmtId="170" fontId="71" fillId="0" borderId="14" xfId="1" applyNumberFormat="1" applyFont="1" applyBorder="1" applyAlignment="1">
      <alignment horizontal="center"/>
    </xf>
    <xf numFmtId="170" fontId="50" fillId="0" borderId="0" xfId="1" applyNumberFormat="1" applyFont="1"/>
    <xf numFmtId="169" fontId="51" fillId="0" borderId="16" xfId="1" applyNumberFormat="1" applyFont="1" applyBorder="1"/>
    <xf numFmtId="168" fontId="51" fillId="0" borderId="0" xfId="1" applyNumberFormat="1" applyFont="1"/>
    <xf numFmtId="192" fontId="44" fillId="0" borderId="0" xfId="1" applyNumberFormat="1"/>
    <xf numFmtId="170" fontId="44" fillId="0" borderId="0" xfId="17915" applyNumberFormat="1" applyFont="1" applyFill="1" applyAlignment="1" applyProtection="1">
      <alignment horizontal="right"/>
    </xf>
    <xf numFmtId="170" fontId="44" fillId="0" borderId="14" xfId="17915" applyNumberFormat="1" applyFont="1" applyFill="1" applyBorder="1" applyAlignment="1" applyProtection="1">
      <alignment horizontal="right"/>
    </xf>
    <xf numFmtId="170" fontId="51" fillId="0" borderId="45" xfId="49849" applyNumberFormat="1" applyFont="1" applyFill="1" applyBorder="1" applyAlignment="1" applyProtection="1"/>
    <xf numFmtId="170" fontId="51" fillId="0" borderId="0" xfId="49849" applyNumberFormat="1" applyFont="1" applyFill="1" applyAlignment="1" applyProtection="1"/>
    <xf numFmtId="170" fontId="51" fillId="0" borderId="17" xfId="49849" applyNumberFormat="1" applyFont="1" applyFill="1" applyBorder="1" applyAlignment="1" applyProtection="1"/>
    <xf numFmtId="166" fontId="49" fillId="0" borderId="0" xfId="3" applyNumberFormat="1" applyFont="1"/>
    <xf numFmtId="43" fontId="49" fillId="0" borderId="0" xfId="4" applyFont="1" applyFill="1" applyBorder="1" applyAlignment="1" applyProtection="1">
      <alignment horizontal="right"/>
    </xf>
    <xf numFmtId="0" fontId="72" fillId="0" borderId="0" xfId="3" quotePrefix="1" applyFont="1" applyAlignment="1">
      <alignment horizontal="left"/>
    </xf>
    <xf numFmtId="0" fontId="72" fillId="0" borderId="0" xfId="3" applyFont="1" applyAlignment="1">
      <alignment horizontal="right"/>
    </xf>
    <xf numFmtId="0" fontId="51" fillId="0" borderId="0" xfId="3" applyFont="1" applyAlignment="1">
      <alignment horizontal="center"/>
    </xf>
    <xf numFmtId="166" fontId="51" fillId="0" borderId="0" xfId="3" applyNumberFormat="1" applyFont="1" applyAlignment="1">
      <alignment horizontal="center"/>
    </xf>
    <xf numFmtId="165" fontId="51" fillId="0" borderId="0" xfId="3" applyNumberFormat="1" applyFont="1"/>
    <xf numFmtId="165" fontId="51" fillId="0" borderId="0" xfId="3" applyNumberFormat="1" applyFont="1" applyAlignment="1">
      <alignment horizontal="center"/>
    </xf>
    <xf numFmtId="0" fontId="51" fillId="0" borderId="0" xfId="3" applyFont="1" applyAlignment="1">
      <alignment horizontal="left"/>
    </xf>
    <xf numFmtId="174" fontId="51" fillId="0" borderId="0" xfId="3" quotePrefix="1" applyNumberFormat="1" applyFont="1" applyAlignment="1">
      <alignment horizontal="right"/>
    </xf>
    <xf numFmtId="174" fontId="51" fillId="0" borderId="14" xfId="3" applyNumberFormat="1" applyFont="1" applyBorder="1"/>
    <xf numFmtId="164" fontId="51" fillId="0" borderId="0" xfId="3" applyNumberFormat="1" applyFont="1"/>
    <xf numFmtId="170" fontId="51" fillId="0" borderId="0" xfId="5509" applyNumberFormat="1" applyFont="1"/>
    <xf numFmtId="170" fontId="51" fillId="0" borderId="14" xfId="3" applyNumberFormat="1" applyFont="1" applyBorder="1"/>
    <xf numFmtId="0" fontId="50" fillId="0" borderId="0" xfId="3" applyFont="1"/>
    <xf numFmtId="0" fontId="44" fillId="0" borderId="0" xfId="3" applyFont="1"/>
    <xf numFmtId="170" fontId="51" fillId="0" borderId="0" xfId="5509" applyNumberFormat="1" applyFont="1" applyAlignment="1">
      <alignment horizontal="right"/>
    </xf>
    <xf numFmtId="170" fontId="51" fillId="0" borderId="0" xfId="3" applyNumberFormat="1" applyFont="1" applyAlignment="1">
      <alignment horizontal="right"/>
    </xf>
    <xf numFmtId="0" fontId="51" fillId="0" borderId="0" xfId="3" quotePrefix="1" applyFont="1" applyAlignment="1">
      <alignment horizontal="left"/>
    </xf>
    <xf numFmtId="0" fontId="44" fillId="0" borderId="0" xfId="3" quotePrefix="1" applyFont="1" applyAlignment="1">
      <alignment horizontal="left"/>
    </xf>
    <xf numFmtId="0" fontId="44" fillId="0" borderId="0" xfId="3" applyFont="1" applyAlignment="1">
      <alignment horizontal="left"/>
    </xf>
    <xf numFmtId="170" fontId="44" fillId="0" borderId="0" xfId="5509" applyNumberFormat="1" applyFont="1" applyAlignment="1">
      <alignment horizontal="right"/>
    </xf>
    <xf numFmtId="174" fontId="51" fillId="0" borderId="15" xfId="3" applyNumberFormat="1" applyFont="1" applyBorder="1"/>
    <xf numFmtId="169" fontId="49" fillId="0" borderId="0" xfId="3" applyNumberFormat="1" applyFont="1"/>
    <xf numFmtId="169" fontId="49" fillId="0" borderId="0" xfId="3" quotePrefix="1" applyNumberFormat="1" applyFont="1" applyAlignment="1">
      <alignment horizontal="right"/>
    </xf>
    <xf numFmtId="0" fontId="49" fillId="0" borderId="0" xfId="3" applyFont="1" applyAlignment="1">
      <alignment horizontal="center"/>
    </xf>
    <xf numFmtId="164" fontId="49" fillId="0" borderId="0" xfId="3" applyNumberFormat="1" applyFont="1"/>
    <xf numFmtId="39" fontId="49" fillId="0" borderId="0" xfId="3" applyNumberFormat="1" applyFont="1"/>
    <xf numFmtId="174" fontId="49" fillId="0" borderId="0" xfId="3" applyNumberFormat="1" applyFont="1"/>
    <xf numFmtId="43" fontId="49" fillId="0" borderId="0" xfId="4" applyFont="1" applyFill="1" applyProtection="1"/>
    <xf numFmtId="165" fontId="44" fillId="0" borderId="0" xfId="5450" applyNumberFormat="1"/>
    <xf numFmtId="3" fontId="44" fillId="0" borderId="0" xfId="1" applyNumberFormat="1" applyAlignment="1">
      <alignment vertical="center"/>
    </xf>
    <xf numFmtId="3" fontId="44" fillId="0" borderId="0" xfId="1" applyNumberFormat="1" applyAlignment="1">
      <alignment horizontal="left" vertical="center"/>
    </xf>
    <xf numFmtId="170" fontId="64" fillId="0" borderId="45" xfId="1" applyNumberFormat="1" applyFont="1" applyBorder="1" applyAlignment="1">
      <alignment horizontal="right"/>
    </xf>
    <xf numFmtId="170" fontId="65" fillId="0" borderId="45" xfId="1" applyNumberFormat="1" applyFont="1" applyBorder="1" applyAlignment="1">
      <alignment horizontal="center"/>
    </xf>
    <xf numFmtId="0" fontId="44" fillId="0" borderId="0" xfId="0" quotePrefix="1" applyNumberFormat="1" applyFont="1" applyAlignment="1">
      <alignment horizontal="center"/>
    </xf>
    <xf numFmtId="0" fontId="44" fillId="0" borderId="0" xfId="737" applyFont="1"/>
    <xf numFmtId="0" fontId="21" fillId="0" borderId="0" xfId="838" applyFont="1"/>
    <xf numFmtId="4" fontId="50" fillId="0" borderId="0" xfId="1025" applyNumberFormat="1" applyFont="1"/>
    <xf numFmtId="1" fontId="50" fillId="0" borderId="0" xfId="1025" applyNumberFormat="1" applyFont="1"/>
    <xf numFmtId="0" fontId="50" fillId="0" borderId="0" xfId="1025" applyFont="1" applyAlignment="1">
      <alignment horizontal="left"/>
    </xf>
    <xf numFmtId="4" fontId="72" fillId="0" borderId="0" xfId="1025" applyNumberFormat="1" applyFont="1" applyAlignment="1">
      <alignment horizontal="left" vertical="center"/>
    </xf>
    <xf numFmtId="0" fontId="50" fillId="0" borderId="0" xfId="1025" applyFont="1" applyAlignment="1">
      <alignment horizontal="right"/>
    </xf>
    <xf numFmtId="4" fontId="50" fillId="0" borderId="0" xfId="1025" applyNumberFormat="1" applyFont="1" applyAlignment="1">
      <alignment horizontal="center"/>
    </xf>
    <xf numFmtId="1" fontId="51" fillId="0" borderId="29" xfId="1025" applyNumberFormat="1" applyFont="1" applyBorder="1"/>
    <xf numFmtId="4" fontId="51" fillId="0" borderId="29" xfId="1025" applyNumberFormat="1" applyFont="1" applyBorder="1"/>
    <xf numFmtId="4" fontId="51" fillId="0" borderId="29" xfId="1025" applyNumberFormat="1" applyFont="1" applyBorder="1" applyAlignment="1">
      <alignment horizontal="center"/>
    </xf>
    <xf numFmtId="0" fontId="116" fillId="0" borderId="0" xfId="838" applyFont="1"/>
    <xf numFmtId="0" fontId="0" fillId="0" borderId="0" xfId="0" applyNumberFormat="1"/>
    <xf numFmtId="4" fontId="51" fillId="0" borderId="0" xfId="1025" applyNumberFormat="1" applyFont="1"/>
    <xf numFmtId="4" fontId="51" fillId="35" borderId="62" xfId="1025" applyNumberFormat="1" applyFont="1" applyFill="1" applyBorder="1" applyAlignment="1">
      <alignment horizontal="center"/>
    </xf>
    <xf numFmtId="4" fontId="51" fillId="0" borderId="0" xfId="1025" applyNumberFormat="1" applyFont="1" applyAlignment="1">
      <alignment horizontal="center"/>
    </xf>
    <xf numFmtId="0" fontId="98" fillId="0" borderId="0" xfId="0" applyNumberFormat="1" applyFont="1"/>
    <xf numFmtId="0" fontId="44" fillId="0" borderId="0" xfId="1025" quotePrefix="1" applyAlignment="1">
      <alignment horizontal="center"/>
    </xf>
    <xf numFmtId="4" fontId="44" fillId="0" borderId="0" xfId="1025" applyNumberFormat="1" applyAlignment="1">
      <alignment horizontal="left"/>
    </xf>
    <xf numFmtId="0" fontId="102" fillId="0" borderId="0" xfId="0" applyNumberFormat="1" applyFont="1"/>
    <xf numFmtId="1" fontId="44" fillId="0" borderId="0" xfId="1025" applyNumberFormat="1" applyAlignment="1">
      <alignment horizontal="center"/>
    </xf>
    <xf numFmtId="4" fontId="51" fillId="35" borderId="62" xfId="1025" quotePrefix="1" applyNumberFormat="1" applyFont="1" applyFill="1" applyBorder="1" applyAlignment="1">
      <alignment horizontal="center"/>
    </xf>
    <xf numFmtId="4" fontId="51" fillId="0" borderId="0" xfId="1025" quotePrefix="1" applyNumberFormat="1" applyFont="1" applyAlignment="1">
      <alignment horizontal="center"/>
    </xf>
    <xf numFmtId="4" fontId="44" fillId="0" borderId="0" xfId="1025" quotePrefix="1" applyNumberFormat="1" applyAlignment="1">
      <alignment horizontal="left"/>
    </xf>
    <xf numFmtId="4" fontId="44" fillId="0" borderId="0" xfId="1025" applyNumberFormat="1"/>
    <xf numFmtId="4" fontId="44" fillId="0" borderId="0" xfId="1025" applyNumberFormat="1" applyAlignment="1">
      <alignment horizontal="center"/>
    </xf>
    <xf numFmtId="1" fontId="44" fillId="0" borderId="0" xfId="1025" quotePrefix="1" applyNumberFormat="1"/>
    <xf numFmtId="4" fontId="51" fillId="0" borderId="0" xfId="0" applyNumberFormat="1" applyFont="1"/>
    <xf numFmtId="0" fontId="98" fillId="0" borderId="0" xfId="1025" quotePrefix="1" applyFont="1"/>
    <xf numFmtId="1" fontId="44" fillId="0" borderId="0" xfId="1025" applyNumberFormat="1"/>
    <xf numFmtId="4" fontId="51" fillId="35" borderId="62" xfId="0" applyNumberFormat="1" applyFont="1" applyFill="1" applyBorder="1" applyAlignment="1">
      <alignment horizontal="center"/>
    </xf>
    <xf numFmtId="4" fontId="51" fillId="0" borderId="0" xfId="0" applyNumberFormat="1" applyFont="1" applyAlignment="1">
      <alignment horizontal="center"/>
    </xf>
    <xf numFmtId="4" fontId="44" fillId="0" borderId="0" xfId="0" applyNumberFormat="1" applyFont="1"/>
    <xf numFmtId="4" fontId="44" fillId="0" borderId="0" xfId="0" applyNumberFormat="1" applyFont="1" applyAlignment="1">
      <alignment horizontal="center"/>
    </xf>
    <xf numFmtId="1" fontId="44" fillId="0" borderId="0" xfId="1025" quotePrefix="1" applyNumberFormat="1" applyAlignment="1">
      <alignment horizontal="center"/>
    </xf>
    <xf numFmtId="4" fontId="44" fillId="0" borderId="0" xfId="1025" quotePrefix="1" applyNumberFormat="1" applyAlignment="1">
      <alignment horizontal="right"/>
    </xf>
    <xf numFmtId="4" fontId="44" fillId="0" borderId="0" xfId="1025" quotePrefix="1" applyNumberFormat="1" applyAlignment="1">
      <alignment horizontal="center"/>
    </xf>
    <xf numFmtId="37" fontId="51" fillId="0" borderId="0" xfId="1025" quotePrefix="1" applyNumberFormat="1" applyFont="1" applyAlignment="1">
      <alignment horizontal="center"/>
    </xf>
    <xf numFmtId="43" fontId="51" fillId="0" borderId="0" xfId="17915" applyFont="1" applyFill="1" applyAlignment="1" applyProtection="1">
      <alignment horizontal="right"/>
    </xf>
    <xf numFmtId="4" fontId="44" fillId="33" borderId="0" xfId="1025" applyNumberFormat="1" applyFill="1" applyAlignment="1">
      <alignment horizontal="centerContinuous"/>
    </xf>
    <xf numFmtId="4" fontId="44" fillId="33" borderId="0" xfId="1025" applyNumberFormat="1" applyFill="1" applyAlignment="1">
      <alignment horizontal="center"/>
    </xf>
    <xf numFmtId="4" fontId="44" fillId="0" borderId="0" xfId="1025" applyNumberFormat="1" applyAlignment="1">
      <alignment horizontal="right"/>
    </xf>
    <xf numFmtId="1" fontId="51" fillId="0" borderId="0" xfId="1025" quotePrefix="1" applyNumberFormat="1" applyFont="1"/>
    <xf numFmtId="0" fontId="98" fillId="0" borderId="0" xfId="1025" applyFont="1"/>
    <xf numFmtId="0" fontId="51" fillId="0" borderId="0" xfId="1025" applyFont="1" applyAlignment="1">
      <alignment horizontal="center"/>
    </xf>
    <xf numFmtId="4" fontId="51" fillId="35" borderId="36" xfId="1025" applyNumberFormat="1" applyFont="1" applyFill="1" applyBorder="1" applyAlignment="1">
      <alignment horizontal="left"/>
    </xf>
    <xf numFmtId="164" fontId="44" fillId="0" borderId="0" xfId="1025" applyNumberFormat="1"/>
    <xf numFmtId="4" fontId="51" fillId="0" borderId="0" xfId="0" applyNumberFormat="1" applyFont="1" applyAlignment="1">
      <alignment horizontal="left"/>
    </xf>
    <xf numFmtId="0" fontId="116" fillId="0" borderId="0" xfId="1025" quotePrefix="1" applyFont="1"/>
    <xf numFmtId="164" fontId="44" fillId="0" borderId="0" xfId="1025" quotePrefix="1" applyNumberFormat="1"/>
    <xf numFmtId="7" fontId="51" fillId="0" borderId="0" xfId="0" applyNumberFormat="1" applyFont="1" applyAlignment="1">
      <alignment horizontal="right"/>
    </xf>
    <xf numFmtId="37" fontId="51" fillId="0" borderId="0" xfId="1025" applyNumberFormat="1" applyFont="1" applyAlignment="1">
      <alignment horizontal="right"/>
    </xf>
    <xf numFmtId="4" fontId="51" fillId="0" borderId="0" xfId="0" applyNumberFormat="1" applyFont="1" applyAlignment="1">
      <alignment horizontal="left" vertical="top"/>
    </xf>
    <xf numFmtId="37" fontId="51" fillId="0" borderId="0" xfId="0" applyNumberFormat="1" applyFont="1" applyAlignment="1">
      <alignment horizontal="right" vertical="top"/>
    </xf>
    <xf numFmtId="37" fontId="102" fillId="0" borderId="0" xfId="0" applyNumberFormat="1" applyFont="1" applyAlignment="1">
      <alignment horizontal="right" vertical="top"/>
    </xf>
    <xf numFmtId="37" fontId="51" fillId="0" borderId="0" xfId="838" applyNumberFormat="1" applyFont="1" applyAlignment="1">
      <alignment horizontal="right"/>
    </xf>
    <xf numFmtId="37" fontId="51" fillId="0" borderId="0" xfId="0" applyNumberFormat="1" applyFont="1" applyAlignment="1">
      <alignment horizontal="right"/>
    </xf>
    <xf numFmtId="7" fontId="51" fillId="0" borderId="0" xfId="1025" applyNumberFormat="1" applyFont="1" applyAlignment="1">
      <alignment horizontal="right"/>
    </xf>
    <xf numFmtId="37" fontId="51" fillId="0" borderId="0" xfId="1025" quotePrefix="1" applyNumberFormat="1" applyFont="1" applyAlignment="1">
      <alignment horizontal="right"/>
    </xf>
    <xf numFmtId="0" fontId="136" fillId="0" borderId="0" xfId="838" applyFont="1"/>
    <xf numFmtId="4" fontId="49" fillId="0" borderId="0" xfId="737" applyNumberFormat="1" applyFont="1" applyAlignment="1">
      <alignment horizontal="right"/>
    </xf>
    <xf numFmtId="42" fontId="44" fillId="0" borderId="0" xfId="736" applyNumberFormat="1"/>
    <xf numFmtId="42" fontId="51" fillId="0" borderId="15" xfId="837" applyNumberFormat="1" applyFont="1" applyBorder="1"/>
    <xf numFmtId="165" fontId="44" fillId="0" borderId="0" xfId="737" applyNumberFormat="1" applyFont="1" applyProtection="1">
      <protection locked="0"/>
    </xf>
    <xf numFmtId="177" fontId="44" fillId="0" borderId="0" xfId="737" applyNumberFormat="1" applyFont="1" applyAlignment="1">
      <alignment horizontal="fill"/>
    </xf>
    <xf numFmtId="178" fontId="51" fillId="0" borderId="10" xfId="737" quotePrefix="1" applyNumberFormat="1" applyFont="1" applyBorder="1" applyAlignment="1">
      <alignment horizontal="center"/>
    </xf>
    <xf numFmtId="178" fontId="51" fillId="0" borderId="0" xfId="737" quotePrefix="1" applyNumberFormat="1" applyFont="1" applyAlignment="1">
      <alignment horizontal="center"/>
    </xf>
    <xf numFmtId="173" fontId="44" fillId="0" borderId="0" xfId="737" applyNumberFormat="1" applyFont="1"/>
    <xf numFmtId="181" fontId="98" fillId="0" borderId="0" xfId="737" applyNumberFormat="1" applyFont="1"/>
    <xf numFmtId="177" fontId="51" fillId="0" borderId="0" xfId="737" applyNumberFormat="1" applyFont="1" applyAlignment="1">
      <alignment horizontal="left"/>
    </xf>
    <xf numFmtId="43" fontId="44" fillId="0" borderId="0" xfId="738" applyFont="1" applyFill="1" applyAlignment="1"/>
    <xf numFmtId="180" fontId="44" fillId="0" borderId="0" xfId="737" applyNumberFormat="1" applyFont="1" applyAlignment="1">
      <alignment horizontal="right"/>
    </xf>
    <xf numFmtId="177" fontId="75" fillId="0" borderId="0" xfId="737" applyNumberFormat="1" applyFont="1" applyAlignment="1">
      <alignment horizontal="left"/>
    </xf>
    <xf numFmtId="41" fontId="0" fillId="0" borderId="0" xfId="0" applyNumberFormat="1"/>
    <xf numFmtId="41" fontId="50" fillId="0" borderId="0" xfId="0" applyNumberFormat="1" applyFont="1" applyAlignment="1">
      <alignment horizontal="center" wrapText="1"/>
    </xf>
    <xf numFmtId="196" fontId="0" fillId="0" borderId="0" xfId="0" applyNumberFormat="1"/>
    <xf numFmtId="41" fontId="111" fillId="0" borderId="0" xfId="0" applyNumberFormat="1" applyFont="1"/>
    <xf numFmtId="41" fontId="162" fillId="0" borderId="0" xfId="0" applyNumberFormat="1" applyFont="1" applyAlignment="1">
      <alignment horizontal="center" vertical="top"/>
    </xf>
    <xf numFmtId="170" fontId="44" fillId="0" borderId="45" xfId="1" quotePrefix="1" applyNumberFormat="1" applyBorder="1" applyAlignment="1">
      <alignment horizontal="center"/>
    </xf>
    <xf numFmtId="165" fontId="44" fillId="0" borderId="0" xfId="833" applyNumberFormat="1" applyFont="1" applyProtection="1">
      <protection locked="0"/>
    </xf>
    <xf numFmtId="0" fontId="58" fillId="0" borderId="0" xfId="833" applyFont="1"/>
    <xf numFmtId="0" fontId="46" fillId="0" borderId="0" xfId="833" quotePrefix="1" applyAlignment="1">
      <alignment horizontal="left"/>
    </xf>
    <xf numFmtId="181" fontId="81" fillId="0" borderId="0" xfId="833" applyNumberFormat="1" applyFont="1"/>
    <xf numFmtId="0" fontId="114" fillId="0" borderId="0" xfId="1" applyFont="1"/>
    <xf numFmtId="165" fontId="49" fillId="0" borderId="0" xfId="0" applyNumberFormat="1" applyFont="1" applyProtection="1">
      <protection locked="0"/>
    </xf>
    <xf numFmtId="165" fontId="162" fillId="0" borderId="0" xfId="0" applyNumberFormat="1" applyFont="1" applyProtection="1">
      <protection locked="0"/>
    </xf>
    <xf numFmtId="37" fontId="51" fillId="0" borderId="0" xfId="1025" applyNumberFormat="1" applyFont="1" applyAlignment="1">
      <alignment horizontal="center"/>
    </xf>
    <xf numFmtId="4" fontId="44" fillId="0" borderId="0" xfId="0" applyNumberFormat="1" applyFont="1" applyAlignment="1">
      <alignment horizontal="left"/>
    </xf>
    <xf numFmtId="1" fontId="44" fillId="0" borderId="0" xfId="0" applyNumberFormat="1" applyFont="1" applyAlignment="1">
      <alignment horizontal="center"/>
    </xf>
    <xf numFmtId="188" fontId="0" fillId="0" borderId="0" xfId="14" applyNumberFormat="1" applyFont="1"/>
    <xf numFmtId="179" fontId="44" fillId="0" borderId="0" xfId="14" applyNumberFormat="1"/>
    <xf numFmtId="180" fontId="67" fillId="0" borderId="0" xfId="1769" applyNumberFormat="1" applyFont="1" applyAlignment="1">
      <alignment horizontal="left"/>
    </xf>
    <xf numFmtId="179" fontId="72" fillId="0" borderId="0" xfId="1769" applyNumberFormat="1" applyFont="1" applyAlignment="1">
      <alignment horizontal="right"/>
    </xf>
    <xf numFmtId="0" fontId="44" fillId="0" borderId="0" xfId="1025" quotePrefix="1" applyAlignment="1">
      <alignment horizontal="left"/>
    </xf>
    <xf numFmtId="165" fontId="45" fillId="0" borderId="0" xfId="1" applyNumberFormat="1" applyFont="1" applyAlignment="1">
      <alignment horizontal="right"/>
    </xf>
    <xf numFmtId="171" fontId="64" fillId="0" borderId="0" xfId="1" quotePrefix="1" applyNumberFormat="1" applyFont="1" applyAlignment="1">
      <alignment horizontal="center"/>
    </xf>
    <xf numFmtId="165" fontId="50" fillId="0" borderId="0" xfId="1" applyNumberFormat="1" applyFont="1" applyAlignment="1">
      <alignment horizontal="right"/>
    </xf>
    <xf numFmtId="0" fontId="44" fillId="0" borderId="17" xfId="1" applyBorder="1"/>
    <xf numFmtId="170" fontId="160" fillId="0" borderId="16" xfId="1" applyNumberFormat="1" applyFont="1" applyBorder="1"/>
    <xf numFmtId="166" fontId="64" fillId="0" borderId="0" xfId="1" quotePrefix="1" applyNumberFormat="1" applyFont="1" applyAlignment="1">
      <alignment horizontal="center"/>
    </xf>
    <xf numFmtId="174" fontId="64" fillId="0" borderId="17" xfId="1" applyNumberFormat="1" applyFont="1" applyBorder="1"/>
    <xf numFmtId="166" fontId="65" fillId="0" borderId="17" xfId="1" applyNumberFormat="1" applyFont="1" applyBorder="1"/>
    <xf numFmtId="172" fontId="44" fillId="0" borderId="0" xfId="0" applyNumberFormat="1" applyFont="1" applyProtection="1">
      <protection locked="0"/>
    </xf>
    <xf numFmtId="164" fontId="51" fillId="0" borderId="45" xfId="0" applyFont="1" applyBorder="1" applyProtection="1">
      <protection locked="0"/>
    </xf>
    <xf numFmtId="170" fontId="65" fillId="0" borderId="17" xfId="1" applyNumberFormat="1" applyFont="1" applyBorder="1"/>
    <xf numFmtId="170" fontId="79" fillId="0" borderId="0" xfId="1" applyNumberFormat="1" applyFont="1"/>
    <xf numFmtId="164" fontId="44" fillId="0" borderId="45" xfId="0" applyFont="1" applyBorder="1" applyProtection="1">
      <protection locked="0"/>
    </xf>
    <xf numFmtId="170" fontId="64" fillId="0" borderId="17" xfId="1" applyNumberFormat="1" applyFont="1" applyBorder="1"/>
    <xf numFmtId="172" fontId="51" fillId="0" borderId="45" xfId="0" applyNumberFormat="1" applyFont="1" applyBorder="1" applyProtection="1">
      <protection locked="0"/>
    </xf>
    <xf numFmtId="194" fontId="69" fillId="0" borderId="0" xfId="1" applyNumberFormat="1" applyFont="1"/>
    <xf numFmtId="164" fontId="51" fillId="0" borderId="15" xfId="0" applyFont="1" applyBorder="1" applyProtection="1">
      <protection locked="0"/>
    </xf>
    <xf numFmtId="166" fontId="64" fillId="0" borderId="45" xfId="1" applyNumberFormat="1" applyFont="1" applyBorder="1" applyAlignment="1">
      <alignment horizontal="center"/>
    </xf>
    <xf numFmtId="170" fontId="64" fillId="0" borderId="45" xfId="1" applyNumberFormat="1" applyFont="1" applyBorder="1"/>
    <xf numFmtId="164" fontId="44" fillId="0" borderId="45" xfId="1" applyNumberFormat="1" applyBorder="1"/>
    <xf numFmtId="0" fontId="67" fillId="0" borderId="0" xfId="833" quotePrefix="1" applyFont="1" applyAlignment="1">
      <alignment horizontal="left"/>
    </xf>
    <xf numFmtId="165" fontId="71" fillId="0" borderId="0" xfId="837" quotePrefix="1" applyNumberFormat="1" applyFont="1"/>
    <xf numFmtId="41" fontId="50" fillId="0" borderId="0" xfId="17915" applyNumberFormat="1" applyFont="1" applyFill="1" applyAlignment="1">
      <alignment horizontal="right"/>
    </xf>
    <xf numFmtId="174" fontId="44"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4" fillId="0" borderId="0" xfId="14" applyNumberFormat="1" applyAlignment="1">
      <alignment horizontal="right"/>
    </xf>
    <xf numFmtId="181" fontId="44" fillId="0" borderId="0" xfId="737" applyNumberFormat="1" applyFont="1"/>
    <xf numFmtId="165" fontId="44" fillId="0" borderId="0" xfId="837" applyNumberFormat="1" applyFont="1" applyProtection="1">
      <protection locked="0"/>
    </xf>
    <xf numFmtId="165" fontId="51" fillId="0" borderId="0" xfId="837" applyNumberFormat="1" applyFont="1" applyAlignment="1">
      <alignment horizontal="right"/>
    </xf>
    <xf numFmtId="165" fontId="51" fillId="0" borderId="0" xfId="837" applyNumberFormat="1" applyFont="1"/>
    <xf numFmtId="170" fontId="55" fillId="0" borderId="0" xfId="1" applyNumberFormat="1" applyFont="1"/>
    <xf numFmtId="170" fontId="55" fillId="0" borderId="17" xfId="1" applyNumberFormat="1" applyFont="1" applyBorder="1"/>
    <xf numFmtId="170" fontId="0" fillId="0" borderId="0" xfId="0" applyNumberFormat="1"/>
    <xf numFmtId="170" fontId="44" fillId="0" borderId="45" xfId="1" applyNumberFormat="1" applyBorder="1" applyAlignment="1">
      <alignment horizontal="center"/>
    </xf>
    <xf numFmtId="169" fontId="0" fillId="0" borderId="0" xfId="1" applyNumberFormat="1" applyFont="1"/>
    <xf numFmtId="174" fontId="44" fillId="0" borderId="27" xfId="1" applyNumberFormat="1" applyBorder="1"/>
    <xf numFmtId="170" fontId="0" fillId="0" borderId="27" xfId="1" applyNumberFormat="1" applyFont="1" applyBorder="1"/>
    <xf numFmtId="165" fontId="135" fillId="0" borderId="0" xfId="1" applyNumberFormat="1" applyFont="1"/>
    <xf numFmtId="170" fontId="51" fillId="0" borderId="61" xfId="1" quotePrefix="1" applyNumberFormat="1" applyFont="1" applyBorder="1"/>
    <xf numFmtId="41" fontId="49" fillId="0" borderId="0" xfId="0" applyNumberFormat="1" applyFont="1" applyAlignment="1">
      <alignment horizontal="right"/>
    </xf>
    <xf numFmtId="42" fontId="50" fillId="0" borderId="54" xfId="0" applyNumberFormat="1" applyFont="1" applyBorder="1" applyAlignment="1">
      <alignment horizontal="right"/>
    </xf>
    <xf numFmtId="43" fontId="174" fillId="0" borderId="0" xfId="9958" applyNumberFormat="1"/>
    <xf numFmtId="43" fontId="49" fillId="0" borderId="0" xfId="0" quotePrefix="1" applyNumberFormat="1" applyFont="1"/>
    <xf numFmtId="43" fontId="49" fillId="0" borderId="0" xfId="0" applyNumberFormat="1" applyFont="1" applyAlignment="1">
      <alignment horizontal="left" vertical="top"/>
    </xf>
    <xf numFmtId="170" fontId="65" fillId="0" borderId="26" xfId="1" applyNumberFormat="1" applyFont="1" applyBorder="1"/>
    <xf numFmtId="164" fontId="44" fillId="0" borderId="26" xfId="1" applyNumberFormat="1" applyBorder="1"/>
    <xf numFmtId="165" fontId="84" fillId="0" borderId="0" xfId="0" applyNumberFormat="1" applyFont="1" applyProtection="1">
      <protection locked="0"/>
    </xf>
    <xf numFmtId="166" fontId="44" fillId="0" borderId="0" xfId="3" applyNumberFormat="1" applyFont="1"/>
    <xf numFmtId="0" fontId="44" fillId="0" borderId="0" xfId="3" applyFont="1" applyAlignment="1">
      <alignment horizontal="center"/>
    </xf>
    <xf numFmtId="166" fontId="44" fillId="0" borderId="14" xfId="3" applyNumberFormat="1" applyFont="1" applyBorder="1"/>
    <xf numFmtId="164" fontId="111" fillId="0" borderId="10" xfId="0" applyFont="1" applyBorder="1" applyAlignment="1">
      <alignment horizontal="center"/>
    </xf>
    <xf numFmtId="43" fontId="162" fillId="0" borderId="0" xfId="0" applyNumberFormat="1" applyFont="1"/>
    <xf numFmtId="49" fontId="111" fillId="0" borderId="0" xfId="0" applyNumberFormat="1" applyFont="1"/>
    <xf numFmtId="0" fontId="162" fillId="0" borderId="0" xfId="0" applyNumberFormat="1" applyFont="1" applyAlignment="1">
      <alignment horizontal="left"/>
    </xf>
    <xf numFmtId="0" fontId="162" fillId="0" borderId="0" xfId="0" applyNumberFormat="1" applyFont="1" applyAlignment="1">
      <alignment vertical="top"/>
    </xf>
    <xf numFmtId="0" fontId="49" fillId="0" borderId="0" xfId="0" applyNumberFormat="1" applyFont="1" applyAlignment="1">
      <alignment horizontal="left"/>
    </xf>
    <xf numFmtId="43" fontId="162" fillId="0" borderId="0" xfId="17915" applyFont="1"/>
    <xf numFmtId="164" fontId="49" fillId="0" borderId="0" xfId="0" applyFont="1" applyAlignment="1">
      <alignment horizontal="left" indent="1"/>
    </xf>
    <xf numFmtId="49" fontId="162" fillId="0" borderId="0" xfId="0" applyNumberFormat="1" applyFont="1" applyAlignment="1">
      <alignment vertical="top" wrapText="1"/>
    </xf>
    <xf numFmtId="43" fontId="160" fillId="0" borderId="0" xfId="25863" applyFont="1" applyFill="1" applyBorder="1"/>
    <xf numFmtId="43" fontId="51" fillId="0" borderId="0" xfId="25860" applyNumberFormat="1" applyFont="1" applyFill="1" applyBorder="1"/>
    <xf numFmtId="164" fontId="111" fillId="0" borderId="0" xfId="0" applyFont="1" applyAlignment="1">
      <alignment horizontal="left"/>
    </xf>
    <xf numFmtId="43" fontId="111" fillId="0" borderId="0" xfId="0" applyNumberFormat="1" applyFont="1"/>
    <xf numFmtId="43" fontId="44"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51" fillId="0" borderId="54" xfId="25864" applyFont="1" applyFill="1" applyBorder="1"/>
    <xf numFmtId="44" fontId="111" fillId="0" borderId="0" xfId="0" applyNumberFormat="1" applyFont="1"/>
    <xf numFmtId="0" fontId="148" fillId="0" borderId="0" xfId="1025" quotePrefix="1" applyFont="1" applyAlignment="1">
      <alignment horizontal="right"/>
    </xf>
    <xf numFmtId="170" fontId="51" fillId="0" borderId="0" xfId="49849" applyNumberFormat="1" applyFont="1" applyFill="1" applyBorder="1" applyAlignment="1" applyProtection="1"/>
    <xf numFmtId="165" fontId="0" fillId="0" borderId="0" xfId="1" quotePrefix="1" applyNumberFormat="1" applyFont="1" applyAlignment="1">
      <alignment horizontal="left"/>
    </xf>
    <xf numFmtId="164" fontId="44" fillId="0" borderId="0" xfId="1933" applyNumberFormat="1" applyFont="1" applyBorder="1" applyAlignment="1"/>
    <xf numFmtId="164" fontId="51" fillId="0" borderId="69" xfId="1" applyNumberFormat="1" applyFont="1" applyBorder="1"/>
    <xf numFmtId="165" fontId="158" fillId="0" borderId="0" xfId="1" applyNumberFormat="1" applyFont="1"/>
    <xf numFmtId="165" fontId="44" fillId="0" borderId="0" xfId="1" quotePrefix="1" applyNumberFormat="1" applyAlignment="1">
      <alignment horizontal="left"/>
    </xf>
    <xf numFmtId="44" fontId="44" fillId="0" borderId="0" xfId="25864" applyFont="1" applyFill="1" applyBorder="1"/>
    <xf numFmtId="44" fontId="51" fillId="0" borderId="0" xfId="25864" applyFont="1" applyFill="1" applyBorder="1"/>
    <xf numFmtId="164" fontId="111" fillId="0" borderId="65" xfId="0" applyFont="1" applyBorder="1" applyAlignment="1">
      <alignment horizontal="left"/>
    </xf>
    <xf numFmtId="4" fontId="111" fillId="0" borderId="0" xfId="0" applyNumberFormat="1" applyFont="1"/>
    <xf numFmtId="43" fontId="111" fillId="0" borderId="65" xfId="0" applyNumberFormat="1" applyFont="1" applyBorder="1"/>
    <xf numFmtId="197" fontId="44" fillId="0" borderId="0" xfId="0" applyNumberFormat="1" applyFont="1"/>
    <xf numFmtId="0" fontId="51" fillId="0" borderId="0" xfId="25855" applyFont="1" applyFill="1"/>
    <xf numFmtId="44" fontId="51" fillId="0" borderId="0" xfId="25858" applyFont="1" applyFill="1" applyBorder="1"/>
    <xf numFmtId="0" fontId="51" fillId="0" borderId="0" xfId="25861" applyFill="1"/>
    <xf numFmtId="44" fontId="51" fillId="0" borderId="0" xfId="25858" applyFont="1" applyFill="1" applyBorder="1" applyAlignment="1">
      <alignment horizontal="right"/>
    </xf>
    <xf numFmtId="44" fontId="51" fillId="0" borderId="54" xfId="25858" applyFont="1" applyFill="1" applyBorder="1"/>
    <xf numFmtId="0" fontId="0" fillId="0" borderId="0" xfId="0" applyNumberFormat="1" applyAlignment="1">
      <alignment horizontal="left"/>
    </xf>
    <xf numFmtId="170" fontId="44" fillId="0" borderId="14" xfId="3" applyNumberFormat="1" applyFont="1" applyBorder="1"/>
    <xf numFmtId="170" fontId="44" fillId="0" borderId="0" xfId="3" applyNumberFormat="1" applyFont="1"/>
    <xf numFmtId="44" fontId="162" fillId="0" borderId="0" xfId="0" applyNumberFormat="1" applyFont="1"/>
    <xf numFmtId="49" fontId="49" fillId="0" borderId="0" xfId="0" applyNumberFormat="1" applyFont="1" applyAlignment="1">
      <alignment horizontal="left" vertical="top"/>
    </xf>
    <xf numFmtId="177" fontId="67" fillId="0" borderId="0" xfId="737" applyNumberFormat="1" applyFont="1"/>
    <xf numFmtId="0" fontId="44" fillId="0" borderId="0" xfId="1025" applyAlignment="1">
      <alignment horizontal="left"/>
    </xf>
    <xf numFmtId="164" fontId="56" fillId="0" borderId="0" xfId="0" applyFont="1"/>
    <xf numFmtId="42" fontId="55" fillId="0" borderId="0" xfId="837" applyNumberFormat="1" applyFont="1"/>
    <xf numFmtId="42" fontId="148" fillId="0" borderId="0" xfId="837" applyNumberFormat="1" applyFont="1"/>
    <xf numFmtId="37" fontId="148" fillId="0" borderId="0" xfId="837" applyNumberFormat="1" applyFont="1"/>
    <xf numFmtId="41" fontId="55" fillId="0" borderId="0" xfId="8" applyNumberFormat="1" applyFont="1" applyFill="1" applyAlignment="1"/>
    <xf numFmtId="166" fontId="56" fillId="0" borderId="0" xfId="5" applyNumberFormat="1" applyFont="1" applyAlignment="1">
      <alignment horizontal="right"/>
    </xf>
    <xf numFmtId="169" fontId="98" fillId="0" borderId="0" xfId="5" applyNumberFormat="1"/>
    <xf numFmtId="166" fontId="70" fillId="0" borderId="0" xfId="1" quotePrefix="1" applyNumberFormat="1" applyFont="1" applyAlignment="1">
      <alignment horizontal="left"/>
    </xf>
    <xf numFmtId="4" fontId="44" fillId="0" borderId="0" xfId="1025" applyNumberFormat="1" applyAlignment="1">
      <alignment horizontal="centerContinuous"/>
    </xf>
    <xf numFmtId="43" fontId="44" fillId="0" borderId="0" xfId="25863" applyFont="1" applyFill="1" applyBorder="1" applyAlignment="1">
      <alignment horizontal="left"/>
    </xf>
    <xf numFmtId="44" fontId="44" fillId="0" borderId="0" xfId="25863" applyNumberFormat="1" applyFont="1" applyFill="1" applyBorder="1" applyAlignment="1">
      <alignment horizontal="left"/>
    </xf>
    <xf numFmtId="43" fontId="44" fillId="0" borderId="0" xfId="25863" applyFont="1" applyFill="1" applyBorder="1"/>
    <xf numFmtId="0" fontId="72" fillId="33" borderId="0" xfId="1" applyFont="1" applyFill="1" applyAlignment="1">
      <alignment horizontal="left" vertical="center"/>
    </xf>
    <xf numFmtId="37" fontId="49" fillId="33" borderId="0" xfId="1" applyNumberFormat="1" applyFont="1" applyFill="1" applyAlignment="1">
      <alignment vertical="center"/>
    </xf>
    <xf numFmtId="37" fontId="49" fillId="0" borderId="0" xfId="1" applyNumberFormat="1" applyFont="1" applyAlignment="1">
      <alignment vertical="center"/>
    </xf>
    <xf numFmtId="0" fontId="72" fillId="0" borderId="0" xfId="1" applyFont="1" applyAlignment="1">
      <alignment horizontal="left" vertical="center"/>
    </xf>
    <xf numFmtId="190" fontId="56" fillId="0" borderId="0" xfId="5" applyNumberFormat="1" applyFont="1" applyAlignment="1">
      <alignment horizontal="right"/>
    </xf>
    <xf numFmtId="164" fontId="138" fillId="0" borderId="0" xfId="0" applyFont="1"/>
    <xf numFmtId="164" fontId="139" fillId="0" borderId="0" xfId="0" applyFont="1"/>
    <xf numFmtId="164" fontId="139" fillId="0" borderId="0" xfId="0" applyFont="1" applyAlignment="1">
      <alignment horizontal="left"/>
    </xf>
    <xf numFmtId="170" fontId="51" fillId="0" borderId="69" xfId="1" applyNumberFormat="1" applyFont="1" applyBorder="1" applyAlignment="1">
      <alignment horizontal="right"/>
    </xf>
    <xf numFmtId="170" fontId="51" fillId="0" borderId="53" xfId="1" applyNumberFormat="1" applyFont="1" applyBorder="1"/>
    <xf numFmtId="4" fontId="0" fillId="0" borderId="0" xfId="0" applyNumberFormat="1" applyAlignment="1">
      <alignment horizontal="right"/>
    </xf>
    <xf numFmtId="43" fontId="130" fillId="0" borderId="0" xfId="1" applyNumberFormat="1" applyFont="1"/>
    <xf numFmtId="43" fontId="0" fillId="0" borderId="0" xfId="1" applyNumberFormat="1" applyFont="1" applyAlignment="1">
      <alignment horizontal="center" vertical="top"/>
    </xf>
    <xf numFmtId="43" fontId="51" fillId="0" borderId="65" xfId="25864" applyNumberFormat="1" applyFont="1" applyFill="1" applyBorder="1" applyAlignment="1">
      <alignment horizontal="right"/>
    </xf>
    <xf numFmtId="43" fontId="51" fillId="0" borderId="0" xfId="25864" applyNumberFormat="1" applyFont="1" applyFill="1" applyBorder="1" applyAlignment="1">
      <alignment horizontal="right"/>
    </xf>
    <xf numFmtId="43" fontId="51" fillId="0" borderId="65" xfId="25858" applyNumberFormat="1" applyFont="1" applyFill="1" applyBorder="1" applyAlignment="1">
      <alignment horizontal="right"/>
    </xf>
    <xf numFmtId="174" fontId="0" fillId="0" borderId="0" xfId="1" quotePrefix="1" applyNumberFormat="1" applyFont="1"/>
    <xf numFmtId="164" fontId="50" fillId="0" borderId="0" xfId="0" quotePrefix="1" applyFont="1" applyAlignment="1">
      <alignment horizontal="right"/>
    </xf>
    <xf numFmtId="172" fontId="51" fillId="0" borderId="15" xfId="0" applyNumberFormat="1" applyFont="1" applyBorder="1"/>
    <xf numFmtId="170" fontId="56" fillId="0" borderId="0" xfId="5" applyNumberFormat="1" applyFont="1"/>
    <xf numFmtId="169" fontId="56" fillId="0" borderId="0" xfId="5" applyNumberFormat="1" applyFont="1"/>
    <xf numFmtId="166" fontId="98" fillId="0" borderId="0" xfId="5" applyNumberFormat="1"/>
    <xf numFmtId="169" fontId="140" fillId="0" borderId="0" xfId="5" applyNumberFormat="1" applyFont="1"/>
    <xf numFmtId="166" fontId="56" fillId="0" borderId="0" xfId="5" quotePrefix="1" applyNumberFormat="1" applyFont="1"/>
    <xf numFmtId="0" fontId="49" fillId="0" borderId="66" xfId="857" applyFont="1" applyBorder="1"/>
    <xf numFmtId="0" fontId="49" fillId="0" borderId="64" xfId="857" applyFont="1" applyBorder="1"/>
    <xf numFmtId="164" fontId="51" fillId="0" borderId="69" xfId="0" applyFont="1" applyBorder="1"/>
    <xf numFmtId="170" fontId="51" fillId="0" borderId="45" xfId="0" applyNumberFormat="1" applyFont="1" applyBorder="1"/>
    <xf numFmtId="170" fontId="51" fillId="0" borderId="45" xfId="1" applyNumberFormat="1" applyFont="1" applyBorder="1" applyAlignment="1">
      <alignment horizontal="right"/>
    </xf>
    <xf numFmtId="170" fontId="44" fillId="0" borderId="45" xfId="0" applyNumberFormat="1" applyFont="1" applyBorder="1" applyAlignment="1">
      <alignment horizontal="right"/>
    </xf>
    <xf numFmtId="165" fontId="44" fillId="0" borderId="0" xfId="1" applyNumberFormat="1" applyAlignment="1">
      <alignment horizontal="center"/>
    </xf>
    <xf numFmtId="0" fontId="44" fillId="0" borderId="64" xfId="1" applyBorder="1"/>
    <xf numFmtId="165" fontId="44" fillId="0" borderId="64" xfId="1" applyNumberFormat="1" applyBorder="1"/>
    <xf numFmtId="166" fontId="51" fillId="0" borderId="45" xfId="1" quotePrefix="1" applyNumberFormat="1" applyFont="1" applyBorder="1" applyAlignment="1">
      <alignment horizontal="center"/>
    </xf>
    <xf numFmtId="170" fontId="44" fillId="0" borderId="49" xfId="1" applyNumberFormat="1" applyBorder="1"/>
    <xf numFmtId="0" fontId="44" fillId="0" borderId="0" xfId="1" quotePrefix="1"/>
    <xf numFmtId="0" fontId="44" fillId="0" borderId="0" xfId="1" quotePrefix="1" applyAlignment="1">
      <alignment horizontal="center"/>
    </xf>
    <xf numFmtId="164" fontId="51" fillId="0" borderId="61" xfId="1" applyNumberFormat="1" applyFont="1" applyBorder="1"/>
    <xf numFmtId="174" fontId="51" fillId="0" borderId="64" xfId="1" applyNumberFormat="1" applyFont="1" applyBorder="1"/>
    <xf numFmtId="172" fontId="51" fillId="0" borderId="54" xfId="1" applyNumberFormat="1" applyFont="1" applyBorder="1"/>
    <xf numFmtId="174" fontId="44" fillId="0" borderId="45" xfId="1" applyNumberFormat="1" applyBorder="1"/>
    <xf numFmtId="170" fontId="51" fillId="0" borderId="61" xfId="1" applyNumberFormat="1" applyFont="1" applyBorder="1" applyAlignment="1">
      <alignment horizontal="right"/>
    </xf>
    <xf numFmtId="170" fontId="51" fillId="0" borderId="61" xfId="1" applyNumberFormat="1" applyFont="1" applyBorder="1" applyProtection="1">
      <protection locked="0"/>
    </xf>
    <xf numFmtId="164" fontId="51" fillId="0" borderId="61" xfId="1" applyNumberFormat="1" applyFont="1" applyBorder="1" applyProtection="1">
      <protection locked="0"/>
    </xf>
    <xf numFmtId="170" fontId="51" fillId="0" borderId="61" xfId="1" applyNumberFormat="1" applyFont="1" applyBorder="1" applyAlignment="1">
      <alignment horizontal="center"/>
    </xf>
    <xf numFmtId="174" fontId="51" fillId="0" borderId="64" xfId="1" applyNumberFormat="1" applyFont="1" applyBorder="1" applyAlignment="1">
      <alignment horizontal="right"/>
    </xf>
    <xf numFmtId="174" fontId="51" fillId="0" borderId="71" xfId="1" applyNumberFormat="1" applyFont="1" applyBorder="1" applyAlignment="1">
      <alignment horizontal="right"/>
    </xf>
    <xf numFmtId="174" fontId="51" fillId="0" borderId="54" xfId="1" quotePrefix="1" applyNumberFormat="1" applyFont="1" applyBorder="1"/>
    <xf numFmtId="0" fontId="44" fillId="33" borderId="45" xfId="1" applyFill="1" applyBorder="1" applyAlignment="1">
      <alignment horizontal="center"/>
    </xf>
    <xf numFmtId="37" fontId="49" fillId="0" borderId="64" xfId="1" applyNumberFormat="1" applyFont="1" applyBorder="1"/>
    <xf numFmtId="37" fontId="44" fillId="0" borderId="45" xfId="1" applyNumberFormat="1" applyBorder="1"/>
    <xf numFmtId="37" fontId="51" fillId="0" borderId="45" xfId="1" applyNumberFormat="1" applyFont="1" applyBorder="1" applyAlignment="1" applyProtection="1">
      <alignment horizontal="centerContinuous"/>
      <protection locked="0"/>
    </xf>
    <xf numFmtId="37" fontId="130" fillId="0" borderId="45" xfId="1" applyNumberFormat="1" applyFont="1" applyBorder="1"/>
    <xf numFmtId="170" fontId="44" fillId="0" borderId="64" xfId="0" quotePrefix="1" applyNumberFormat="1" applyFont="1" applyBorder="1" applyAlignment="1">
      <alignment horizontal="center"/>
    </xf>
    <xf numFmtId="170" fontId="51" fillId="0" borderId="64" xfId="0" applyNumberFormat="1" applyFont="1" applyBorder="1"/>
    <xf numFmtId="166" fontId="65" fillId="0" borderId="64" xfId="1" applyNumberFormat="1" applyFont="1" applyBorder="1"/>
    <xf numFmtId="170" fontId="51" fillId="0" borderId="66" xfId="0" applyNumberFormat="1" applyFont="1" applyBorder="1"/>
    <xf numFmtId="170" fontId="64" fillId="0" borderId="69" xfId="1" applyNumberFormat="1" applyFont="1" applyBorder="1"/>
    <xf numFmtId="164" fontId="51" fillId="0" borderId="69" xfId="0" applyFont="1" applyBorder="1" applyProtection="1">
      <protection locked="0"/>
    </xf>
    <xf numFmtId="170" fontId="51" fillId="0" borderId="45" xfId="4" applyNumberFormat="1" applyFont="1" applyFill="1" applyBorder="1"/>
    <xf numFmtId="166" fontId="65" fillId="0" borderId="65" xfId="1" applyNumberFormat="1" applyFont="1" applyBorder="1"/>
    <xf numFmtId="166" fontId="44" fillId="0" borderId="0" xfId="1" quotePrefix="1" applyNumberFormat="1" applyAlignment="1">
      <alignment horizontal="left"/>
    </xf>
    <xf numFmtId="170" fontId="51" fillId="0" borderId="45" xfId="4" applyNumberFormat="1" applyFont="1" applyFill="1" applyBorder="1" applyProtection="1"/>
    <xf numFmtId="166" fontId="65" fillId="0" borderId="26" xfId="1" applyNumberFormat="1" applyFont="1" applyBorder="1"/>
    <xf numFmtId="170" fontId="64" fillId="0" borderId="25" xfId="1" applyNumberFormat="1" applyFont="1" applyBorder="1"/>
    <xf numFmtId="170" fontId="65" fillId="0" borderId="64" xfId="1" applyNumberFormat="1" applyFont="1" applyBorder="1"/>
    <xf numFmtId="1" fontId="51" fillId="0" borderId="45" xfId="1" quotePrefix="1" applyNumberFormat="1" applyFont="1" applyBorder="1" applyAlignment="1">
      <alignment horizontal="center"/>
    </xf>
    <xf numFmtId="0" fontId="44" fillId="0" borderId="16" xfId="1" applyBorder="1"/>
    <xf numFmtId="172" fontId="44" fillId="0" borderId="45" xfId="1" applyNumberFormat="1" applyBorder="1"/>
    <xf numFmtId="172" fontId="44" fillId="0" borderId="45" xfId="0" applyNumberFormat="1" applyFont="1" applyBorder="1"/>
    <xf numFmtId="170" fontId="44" fillId="0" borderId="26" xfId="1" applyNumberFormat="1" applyBorder="1"/>
    <xf numFmtId="3" fontId="44" fillId="0" borderId="0" xfId="1" applyNumberFormat="1" applyAlignment="1">
      <alignment horizontal="left"/>
    </xf>
    <xf numFmtId="164" fontId="51" fillId="0" borderId="45" xfId="1" quotePrefix="1" applyNumberFormat="1" applyFont="1" applyBorder="1" applyAlignment="1">
      <alignment horizontal="right"/>
    </xf>
    <xf numFmtId="166" fontId="44" fillId="0" borderId="64" xfId="1" applyNumberFormat="1" applyBorder="1"/>
    <xf numFmtId="164" fontId="44" fillId="0" borderId="64" xfId="1" applyNumberFormat="1" applyBorder="1"/>
    <xf numFmtId="165" fontId="44" fillId="0" borderId="14" xfId="1" applyNumberFormat="1" applyBorder="1"/>
    <xf numFmtId="165" fontId="44" fillId="0" borderId="17" xfId="1" applyNumberFormat="1" applyBorder="1"/>
    <xf numFmtId="165" fontId="44" fillId="0" borderId="27" xfId="1" applyNumberFormat="1" applyBorder="1"/>
    <xf numFmtId="170" fontId="44" fillId="0" borderId="27" xfId="1" applyNumberFormat="1" applyBorder="1" applyAlignment="1">
      <alignment horizontal="center"/>
    </xf>
    <xf numFmtId="165" fontId="44" fillId="0" borderId="0" xfId="1" applyNumberFormat="1" applyAlignment="1">
      <alignment horizontal="left"/>
    </xf>
    <xf numFmtId="170" fontId="44" fillId="0" borderId="65" xfId="1" applyNumberFormat="1" applyBorder="1"/>
    <xf numFmtId="164" fontId="44" fillId="0" borderId="65" xfId="1" applyNumberFormat="1" applyBorder="1"/>
    <xf numFmtId="170" fontId="44" fillId="0" borderId="0" xfId="4" applyNumberFormat="1" applyFont="1" applyFill="1" applyProtection="1"/>
    <xf numFmtId="170" fontId="44" fillId="0" borderId="0" xfId="4" applyNumberFormat="1" applyFont="1" applyFill="1" applyBorder="1" applyProtection="1"/>
    <xf numFmtId="168" fontId="44" fillId="0" borderId="20" xfId="1" applyNumberFormat="1" applyBorder="1"/>
    <xf numFmtId="165" fontId="44" fillId="0" borderId="19" xfId="1" applyNumberFormat="1" applyBorder="1"/>
    <xf numFmtId="170" fontId="51" fillId="0" borderId="45" xfId="1043" applyNumberFormat="1" applyFont="1" applyFill="1" applyBorder="1"/>
    <xf numFmtId="164" fontId="51" fillId="0" borderId="45" xfId="1043" applyNumberFormat="1" applyFont="1" applyFill="1" applyBorder="1"/>
    <xf numFmtId="166" fontId="44" fillId="0" borderId="19" xfId="1" applyNumberFormat="1" applyBorder="1"/>
    <xf numFmtId="164" fontId="51" fillId="0" borderId="45" xfId="1" applyNumberFormat="1" applyFont="1" applyBorder="1" applyAlignment="1">
      <alignment horizontal="center"/>
    </xf>
    <xf numFmtId="165" fontId="44" fillId="0" borderId="16" xfId="1" applyNumberFormat="1" applyBorder="1"/>
    <xf numFmtId="166" fontId="44" fillId="0" borderId="16" xfId="1" applyNumberFormat="1" applyBorder="1"/>
    <xf numFmtId="164" fontId="51" fillId="0" borderId="25" xfId="1" applyNumberFormat="1" applyFont="1" applyBorder="1" applyAlignment="1">
      <alignment horizontal="right"/>
    </xf>
    <xf numFmtId="170" fontId="44" fillId="0" borderId="65" xfId="1" applyNumberFormat="1" applyBorder="1" applyAlignment="1">
      <alignment horizontal="right"/>
    </xf>
    <xf numFmtId="172" fontId="51" fillId="0" borderId="45" xfId="1" applyNumberFormat="1" applyFont="1" applyBorder="1" applyAlignment="1">
      <alignment horizontal="right"/>
    </xf>
    <xf numFmtId="164" fontId="44" fillId="0" borderId="65" xfId="1" applyNumberFormat="1" applyBorder="1" applyAlignment="1">
      <alignment horizontal="right"/>
    </xf>
    <xf numFmtId="172" fontId="51" fillId="0" borderId="15" xfId="1" applyNumberFormat="1" applyFont="1" applyBorder="1"/>
    <xf numFmtId="0" fontId="51" fillId="0" borderId="45" xfId="3" applyFont="1" applyBorder="1" applyAlignment="1">
      <alignment horizontal="center"/>
    </xf>
    <xf numFmtId="166" fontId="51" fillId="0" borderId="45" xfId="3" applyNumberFormat="1" applyFont="1" applyBorder="1" applyAlignment="1">
      <alignment horizontal="center"/>
    </xf>
    <xf numFmtId="166" fontId="44" fillId="0" borderId="0" xfId="3" applyNumberFormat="1" applyFont="1" applyAlignment="1">
      <alignment horizontal="center"/>
    </xf>
    <xf numFmtId="0" fontId="44" fillId="0" borderId="0" xfId="3" quotePrefix="1" applyFont="1" applyAlignment="1">
      <alignment horizontal="center"/>
    </xf>
    <xf numFmtId="169" fontId="44" fillId="0" borderId="0" xfId="3" applyNumberFormat="1" applyFont="1" applyAlignment="1">
      <alignment horizontal="center"/>
    </xf>
    <xf numFmtId="170" fontId="44" fillId="0" borderId="0" xfId="3" applyNumberFormat="1" applyFont="1" applyAlignment="1">
      <alignment horizontal="center"/>
    </xf>
    <xf numFmtId="164" fontId="44" fillId="0" borderId="0" xfId="3" applyNumberFormat="1" applyFont="1"/>
    <xf numFmtId="170" fontId="44" fillId="0" borderId="45" xfId="3" quotePrefix="1" applyNumberFormat="1" applyFont="1" applyBorder="1"/>
    <xf numFmtId="170" fontId="51" fillId="0" borderId="45" xfId="3" applyNumberFormat="1" applyFont="1" applyBorder="1"/>
    <xf numFmtId="170" fontId="44" fillId="0" borderId="45" xfId="3" applyNumberFormat="1" applyFont="1" applyBorder="1"/>
    <xf numFmtId="170" fontId="44"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4" fillId="0" borderId="0" xfId="1" applyNumberFormat="1" applyAlignment="1">
      <alignment horizontal="right" vertical="center"/>
    </xf>
    <xf numFmtId="170" fontId="44" fillId="0" borderId="17" xfId="1" applyNumberFormat="1" applyBorder="1" applyAlignment="1">
      <alignment horizontal="right" vertical="center"/>
    </xf>
    <xf numFmtId="170" fontId="44" fillId="0" borderId="0" xfId="4" applyNumberFormat="1" applyFont="1" applyFill="1"/>
    <xf numFmtId="170" fontId="51" fillId="0" borderId="45" xfId="17915" applyNumberFormat="1" applyFont="1" applyBorder="1" applyAlignment="1"/>
    <xf numFmtId="170" fontId="51" fillId="0" borderId="45" xfId="17915" applyNumberFormat="1" applyFont="1" applyFill="1" applyBorder="1" applyAlignment="1"/>
    <xf numFmtId="169" fontId="44" fillId="0" borderId="17" xfId="1" applyNumberFormat="1" applyBorder="1"/>
    <xf numFmtId="172" fontId="44" fillId="0" borderId="0" xfId="1933" applyNumberFormat="1" applyFont="1" applyFill="1" applyBorder="1" applyAlignment="1" applyProtection="1"/>
    <xf numFmtId="169" fontId="44" fillId="0" borderId="0" xfId="49849" applyNumberFormat="1" applyFont="1" applyFill="1" applyBorder="1" applyAlignment="1" applyProtection="1"/>
    <xf numFmtId="164" fontId="51" fillId="0" borderId="25" xfId="0" applyFont="1" applyBorder="1" applyProtection="1">
      <protection locked="0"/>
    </xf>
    <xf numFmtId="170" fontId="44" fillId="0" borderId="0" xfId="1" quotePrefix="1" applyNumberFormat="1" applyAlignment="1">
      <alignment horizontal="left"/>
    </xf>
    <xf numFmtId="170" fontId="44" fillId="0" borderId="45" xfId="17915" applyNumberFormat="1" applyFont="1" applyFill="1" applyBorder="1" applyAlignment="1">
      <alignment horizontal="center"/>
    </xf>
    <xf numFmtId="170" fontId="44" fillId="0" borderId="0" xfId="17915" applyNumberFormat="1" applyFont="1" applyFill="1" applyBorder="1" applyAlignment="1">
      <alignment horizontal="center"/>
    </xf>
    <xf numFmtId="0" fontId="67" fillId="0" borderId="64" xfId="833" applyFont="1" applyBorder="1"/>
    <xf numFmtId="177" fontId="72" fillId="0" borderId="61" xfId="833" applyNumberFormat="1" applyFont="1" applyBorder="1" applyAlignment="1">
      <alignment horizontal="right"/>
    </xf>
    <xf numFmtId="177" fontId="67" fillId="0" borderId="64" xfId="833" applyNumberFormat="1" applyFont="1" applyBorder="1"/>
    <xf numFmtId="184" fontId="67" fillId="0" borderId="64" xfId="833" applyNumberFormat="1" applyFont="1" applyBorder="1"/>
    <xf numFmtId="0" fontId="72" fillId="0" borderId="64" xfId="833" applyFont="1" applyBorder="1"/>
    <xf numFmtId="0" fontId="50" fillId="0" borderId="10" xfId="0" applyNumberFormat="1" applyFont="1" applyBorder="1" applyAlignment="1">
      <alignment horizontal="center"/>
    </xf>
    <xf numFmtId="43" fontId="50" fillId="0" borderId="10" xfId="9958" quotePrefix="1" applyNumberFormat="1" applyFont="1" applyBorder="1" applyAlignment="1">
      <alignment horizontal="center"/>
    </xf>
    <xf numFmtId="189" fontId="44" fillId="0" borderId="64" xfId="8" applyNumberFormat="1" applyFont="1" applyFill="1" applyBorder="1" applyAlignment="1"/>
    <xf numFmtId="41" fontId="44" fillId="0" borderId="65" xfId="8" applyNumberFormat="1" applyFont="1" applyFill="1" applyBorder="1" applyAlignment="1"/>
    <xf numFmtId="41" fontId="51" fillId="0" borderId="10" xfId="837" applyNumberFormat="1" applyFont="1" applyBorder="1"/>
    <xf numFmtId="43" fontId="51" fillId="0" borderId="10" xfId="1769" applyNumberFormat="1" applyFont="1" applyBorder="1" applyAlignment="1">
      <alignment horizontal="right"/>
    </xf>
    <xf numFmtId="44" fontId="51" fillId="0" borderId="15" xfId="1769" applyNumberFormat="1" applyFont="1" applyBorder="1" applyAlignment="1">
      <alignment horizontal="right"/>
    </xf>
    <xf numFmtId="164" fontId="72" fillId="0" borderId="10" xfId="0" applyFont="1" applyBorder="1" applyAlignment="1">
      <alignment horizontal="center"/>
    </xf>
    <xf numFmtId="41" fontId="51" fillId="0" borderId="61" xfId="736" applyNumberFormat="1" applyFont="1" applyBorder="1"/>
    <xf numFmtId="42" fontId="97" fillId="0" borderId="15" xfId="736" applyNumberFormat="1" applyFont="1" applyBorder="1"/>
    <xf numFmtId="0" fontId="5" fillId="0" borderId="0" xfId="838" applyFont="1"/>
    <xf numFmtId="41" fontId="44" fillId="0" borderId="65" xfId="8" applyNumberFormat="1" applyFont="1" applyBorder="1" applyAlignment="1"/>
    <xf numFmtId="0" fontId="49" fillId="0" borderId="61" xfId="857" applyFont="1" applyBorder="1"/>
    <xf numFmtId="0" fontId="141" fillId="0" borderId="61" xfId="857" applyFont="1" applyBorder="1"/>
    <xf numFmtId="0" fontId="49" fillId="0" borderId="61" xfId="857" applyFont="1" applyBorder="1" applyAlignment="1">
      <alignment horizontal="left"/>
    </xf>
    <xf numFmtId="170" fontId="51" fillId="0" borderId="25" xfId="3" applyNumberFormat="1" applyFont="1" applyBorder="1"/>
    <xf numFmtId="170" fontId="51" fillId="0" borderId="26" xfId="1" applyNumberFormat="1" applyFont="1" applyBorder="1"/>
    <xf numFmtId="172" fontId="51" fillId="0" borderId="25" xfId="0" applyNumberFormat="1" applyFont="1" applyBorder="1"/>
    <xf numFmtId="170" fontId="44" fillId="0" borderId="26" xfId="5509" applyNumberFormat="1" applyFont="1" applyBorder="1"/>
    <xf numFmtId="170" fontId="44" fillId="0" borderId="26" xfId="3" applyNumberFormat="1" applyFont="1" applyBorder="1"/>
    <xf numFmtId="170" fontId="44" fillId="0" borderId="26" xfId="3" applyNumberFormat="1" applyFont="1" applyBorder="1" applyAlignment="1">
      <alignment horizontal="center"/>
    </xf>
    <xf numFmtId="166" fontId="44" fillId="0" borderId="26" xfId="3" applyNumberFormat="1" applyFont="1" applyBorder="1"/>
    <xf numFmtId="166" fontId="44" fillId="0" borderId="26" xfId="3" applyNumberFormat="1" applyFont="1" applyBorder="1" applyAlignment="1">
      <alignment horizontal="right"/>
    </xf>
    <xf numFmtId="170" fontId="64" fillId="0" borderId="19" xfId="1" applyNumberFormat="1" applyFont="1" applyBorder="1"/>
    <xf numFmtId="170" fontId="205" fillId="0" borderId="0" xfId="0" quotePrefix="1" applyNumberFormat="1" applyFont="1" applyAlignment="1">
      <alignment horizontal="right"/>
    </xf>
    <xf numFmtId="174" fontId="44" fillId="0" borderId="16" xfId="1" applyNumberFormat="1" applyBorder="1"/>
    <xf numFmtId="174" fontId="51" fillId="0" borderId="16" xfId="1" applyNumberFormat="1" applyFont="1" applyBorder="1"/>
    <xf numFmtId="170" fontId="0" fillId="0" borderId="0" xfId="0" applyNumberFormat="1" applyAlignment="1" applyProtection="1">
      <alignment horizontal="right"/>
      <protection locked="0"/>
    </xf>
    <xf numFmtId="0" fontId="206" fillId="0" borderId="0" xfId="1" quotePrefix="1" applyFont="1" applyAlignment="1">
      <alignment horizontal="center"/>
    </xf>
    <xf numFmtId="3" fontId="51" fillId="0" borderId="0" xfId="1" applyNumberFormat="1" applyFont="1" applyAlignment="1">
      <alignment horizontal="center"/>
    </xf>
    <xf numFmtId="3" fontId="44" fillId="0" borderId="64" xfId="1" applyNumberFormat="1" applyBorder="1"/>
    <xf numFmtId="170" fontId="84" fillId="0" borderId="0" xfId="1" applyNumberFormat="1" applyFont="1"/>
    <xf numFmtId="0" fontId="208" fillId="0" borderId="0" xfId="1" applyFont="1"/>
    <xf numFmtId="170" fontId="160" fillId="0" borderId="0" xfId="5509" applyNumberFormat="1" applyFont="1"/>
    <xf numFmtId="165" fontId="160" fillId="0" borderId="0" xfId="1" applyNumberFormat="1" applyFont="1"/>
    <xf numFmtId="165" fontId="209" fillId="0" borderId="0" xfId="1" applyNumberFormat="1" applyFont="1"/>
    <xf numFmtId="164" fontId="160" fillId="0" borderId="0" xfId="0" applyFont="1"/>
    <xf numFmtId="170" fontId="160" fillId="0" borderId="0" xfId="4" applyNumberFormat="1" applyFont="1" applyFill="1" applyProtection="1"/>
    <xf numFmtId="170" fontId="160" fillId="0" borderId="0" xfId="4" applyNumberFormat="1" applyFont="1" applyFill="1" applyBorder="1" applyProtection="1"/>
    <xf numFmtId="170" fontId="160" fillId="0" borderId="0" xfId="1" quotePrefix="1" applyNumberFormat="1" applyFont="1" applyAlignment="1">
      <alignment horizontal="right"/>
    </xf>
    <xf numFmtId="170" fontId="160" fillId="0" borderId="17" xfId="1" applyNumberFormat="1" applyFont="1" applyBorder="1"/>
    <xf numFmtId="170" fontId="160" fillId="0" borderId="0" xfId="1" applyNumberFormat="1" applyFont="1" applyAlignment="1">
      <alignment horizontal="right"/>
    </xf>
    <xf numFmtId="170" fontId="160" fillId="0" borderId="27" xfId="1" applyNumberFormat="1" applyFont="1" applyBorder="1"/>
    <xf numFmtId="170" fontId="210" fillId="0" borderId="0" xfId="1" applyNumberFormat="1" applyFont="1"/>
    <xf numFmtId="165" fontId="86" fillId="0" borderId="0" xfId="1" applyNumberFormat="1" applyFont="1"/>
    <xf numFmtId="170" fontId="205" fillId="0" borderId="0" xfId="1" applyNumberFormat="1" applyFont="1" applyAlignment="1">
      <alignment horizontal="center"/>
    </xf>
    <xf numFmtId="166" fontId="51" fillId="0" borderId="0" xfId="3" applyNumberFormat="1" applyFont="1"/>
    <xf numFmtId="170" fontId="44" fillId="0" borderId="0" xfId="5509" quotePrefix="1" applyNumberFormat="1" applyFont="1" applyAlignment="1">
      <alignment horizontal="right"/>
    </xf>
    <xf numFmtId="166" fontId="160" fillId="0" borderId="0" xfId="1" applyNumberFormat="1" applyFont="1"/>
    <xf numFmtId="165" fontId="89" fillId="0" borderId="0" xfId="1" applyNumberFormat="1" applyFont="1"/>
    <xf numFmtId="169" fontId="44" fillId="0" borderId="0" xfId="1" quotePrefix="1" applyNumberFormat="1" applyAlignment="1">
      <alignment horizontal="right"/>
    </xf>
    <xf numFmtId="170" fontId="89" fillId="0" borderId="0" xfId="1" applyNumberFormat="1" applyFont="1"/>
    <xf numFmtId="170" fontId="51" fillId="0" borderId="23" xfId="1" applyNumberFormat="1" applyFont="1" applyBorder="1"/>
    <xf numFmtId="165" fontId="91" fillId="0" borderId="0" xfId="1" applyNumberFormat="1" applyFont="1" applyAlignment="1">
      <alignment horizontal="left"/>
    </xf>
    <xf numFmtId="177" fontId="51" fillId="0" borderId="23" xfId="737" applyNumberFormat="1" applyFont="1" applyBorder="1" applyAlignment="1">
      <alignment horizontal="center"/>
    </xf>
    <xf numFmtId="177" fontId="51" fillId="0" borderId="10" xfId="737" applyNumberFormat="1" applyFont="1" applyBorder="1" applyAlignment="1">
      <alignment horizontal="center"/>
    </xf>
    <xf numFmtId="180" fontId="44" fillId="0" borderId="0" xfId="737" applyNumberFormat="1" applyFont="1"/>
    <xf numFmtId="177" fontId="44" fillId="0" borderId="0" xfId="737" quotePrefix="1" applyNumberFormat="1" applyFont="1"/>
    <xf numFmtId="180" fontId="98" fillId="0" borderId="0" xfId="737" applyNumberFormat="1" applyFont="1"/>
    <xf numFmtId="0" fontId="59" fillId="0" borderId="0" xfId="833" applyFont="1"/>
    <xf numFmtId="183" fontId="72" fillId="0" borderId="0" xfId="833" quotePrefix="1" applyNumberFormat="1" applyFont="1" applyAlignment="1">
      <alignment horizontal="center"/>
    </xf>
    <xf numFmtId="0" fontId="68" fillId="0" borderId="64" xfId="833" applyFont="1" applyBorder="1"/>
    <xf numFmtId="184" fontId="67" fillId="0" borderId="0" xfId="833" applyNumberFormat="1" applyFont="1" applyAlignment="1">
      <alignment horizontal="right"/>
    </xf>
    <xf numFmtId="39" fontId="81" fillId="0" borderId="0" xfId="833" applyNumberFormat="1" applyFont="1"/>
    <xf numFmtId="180" fontId="81" fillId="0" borderId="0" xfId="833" applyNumberFormat="1" applyFont="1"/>
    <xf numFmtId="180" fontId="81" fillId="0" borderId="0" xfId="833" applyNumberFormat="1" applyFont="1" applyAlignment="1">
      <alignment horizontal="left"/>
    </xf>
    <xf numFmtId="184" fontId="67" fillId="0" borderId="0" xfId="833" quotePrefix="1" applyNumberFormat="1" applyFont="1" applyAlignment="1">
      <alignment horizontal="center"/>
    </xf>
    <xf numFmtId="176" fontId="81" fillId="0" borderId="0" xfId="833" applyNumberFormat="1" applyFont="1"/>
    <xf numFmtId="173" fontId="67" fillId="0" borderId="0" xfId="833" applyNumberFormat="1" applyFont="1" applyProtection="1">
      <protection locked="0"/>
    </xf>
    <xf numFmtId="176" fontId="67" fillId="0" borderId="0" xfId="833" applyNumberFormat="1" applyFont="1" applyProtection="1">
      <protection locked="0"/>
    </xf>
    <xf numFmtId="176" fontId="67" fillId="0" borderId="0" xfId="833" applyNumberFormat="1" applyFont="1" applyAlignment="1" applyProtection="1">
      <alignment horizontal="right"/>
      <protection locked="0"/>
    </xf>
    <xf numFmtId="176" fontId="67" fillId="0" borderId="0" xfId="833" applyNumberFormat="1" applyFont="1" applyAlignment="1">
      <alignment horizontal="center"/>
    </xf>
    <xf numFmtId="0" fontId="49" fillId="0" borderId="0" xfId="9958" applyFont="1" applyAlignment="1">
      <alignment horizontal="center"/>
    </xf>
    <xf numFmtId="0" fontId="50" fillId="0" borderId="10" xfId="9958" applyFont="1" applyBorder="1" applyAlignment="1">
      <alignment horizontal="centerContinuous"/>
    </xf>
    <xf numFmtId="0" fontId="174" fillId="0" borderId="0" xfId="9958"/>
    <xf numFmtId="0" fontId="49" fillId="0" borderId="59" xfId="9958" applyFont="1" applyBorder="1"/>
    <xf numFmtId="0" fontId="50" fillId="0" borderId="0" xfId="9958" applyFont="1" applyAlignment="1">
      <alignment horizontal="centerContinuous" vertical="top"/>
    </xf>
    <xf numFmtId="0" fontId="50" fillId="0" borderId="0" xfId="9958" applyFont="1" applyAlignment="1">
      <alignment horizontal="centerContinuous"/>
    </xf>
    <xf numFmtId="0" fontId="49" fillId="0" borderId="13" xfId="9958" applyFont="1" applyBorder="1"/>
    <xf numFmtId="0" fontId="49" fillId="0" borderId="0" xfId="9958" applyFont="1"/>
    <xf numFmtId="185" fontId="50" fillId="0" borderId="10" xfId="9958" applyNumberFormat="1" applyFont="1" applyBorder="1" applyAlignment="1">
      <alignment horizontal="center"/>
    </xf>
    <xf numFmtId="4" fontId="49" fillId="0" borderId="0" xfId="0" applyNumberFormat="1" applyFont="1" applyAlignment="1">
      <alignment horizontal="right"/>
    </xf>
    <xf numFmtId="0" fontId="49" fillId="0" borderId="13" xfId="0" applyNumberFormat="1" applyFont="1" applyBorder="1"/>
    <xf numFmtId="42" fontId="49" fillId="0" borderId="0" xfId="0" applyNumberFormat="1" applyFont="1"/>
    <xf numFmtId="41" fontId="49" fillId="0" borderId="0" xfId="0" quotePrefix="1" applyNumberFormat="1" applyFont="1" applyAlignment="1">
      <alignment horizontal="right"/>
    </xf>
    <xf numFmtId="186" fontId="49" fillId="0" borderId="0" xfId="0" applyNumberFormat="1" applyFont="1"/>
    <xf numFmtId="0" fontId="49" fillId="0" borderId="0" xfId="0" applyNumberFormat="1" applyFont="1" applyAlignment="1">
      <alignment horizontal="center"/>
    </xf>
    <xf numFmtId="0" fontId="49" fillId="0" borderId="0" xfId="0" applyNumberFormat="1" applyFont="1" applyAlignment="1">
      <alignment horizontal="center" vertical="top"/>
    </xf>
    <xf numFmtId="186" fontId="49" fillId="0" borderId="0" xfId="0" applyNumberFormat="1" applyFont="1" applyAlignment="1">
      <alignment horizontal="right" vertical="top"/>
    </xf>
    <xf numFmtId="41" fontId="44" fillId="0" borderId="65" xfId="837" quotePrefix="1" applyNumberFormat="1" applyFont="1" applyBorder="1" applyAlignment="1">
      <alignment horizontal="right"/>
    </xf>
    <xf numFmtId="39" fontId="51" fillId="0" borderId="0" xfId="0" applyNumberFormat="1" applyFont="1" applyAlignment="1">
      <alignment horizontal="center"/>
    </xf>
    <xf numFmtId="43" fontId="51" fillId="0" borderId="54" xfId="17915" applyFont="1" applyFill="1" applyBorder="1" applyAlignment="1" applyProtection="1">
      <alignment horizontal="right"/>
    </xf>
    <xf numFmtId="164" fontId="44" fillId="0" borderId="0" xfId="737" applyNumberFormat="1" applyFont="1"/>
    <xf numFmtId="164" fontId="99" fillId="0" borderId="0" xfId="737" applyNumberFormat="1"/>
    <xf numFmtId="7" fontId="51" fillId="0" borderId="0" xfId="737" applyNumberFormat="1" applyFont="1" applyAlignment="1">
      <alignment horizontal="right"/>
    </xf>
    <xf numFmtId="4" fontId="102" fillId="0" borderId="0" xfId="0" applyNumberFormat="1" applyFont="1" applyAlignment="1">
      <alignment horizontal="left"/>
    </xf>
    <xf numFmtId="0" fontId="8" fillId="0" borderId="0" xfId="838" applyFont="1"/>
    <xf numFmtId="4" fontId="115" fillId="0" borderId="0" xfId="1025" applyNumberFormat="1" applyFont="1" applyAlignment="1">
      <alignment horizontal="right"/>
    </xf>
    <xf numFmtId="39" fontId="50" fillId="0" borderId="0" xfId="1025" applyNumberFormat="1" applyFont="1"/>
    <xf numFmtId="4" fontId="115" fillId="0" borderId="0" xfId="1025" applyNumberFormat="1" applyFont="1"/>
    <xf numFmtId="39" fontId="115" fillId="0" borderId="0" xfId="1025" applyNumberFormat="1" applyFont="1" applyAlignment="1">
      <alignment horizontal="right"/>
    </xf>
    <xf numFmtId="4" fontId="88" fillId="0" borderId="0" xfId="1025" applyNumberFormat="1" applyFont="1"/>
    <xf numFmtId="39" fontId="115" fillId="0" borderId="0" xfId="1025" applyNumberFormat="1" applyFont="1"/>
    <xf numFmtId="4" fontId="115" fillId="0" borderId="0" xfId="1025" quotePrefix="1" applyNumberFormat="1" applyFont="1" applyAlignment="1">
      <alignment horizontal="left"/>
    </xf>
    <xf numFmtId="39" fontId="115" fillId="0" borderId="0" xfId="1025" quotePrefix="1" applyNumberFormat="1" applyFont="1" applyAlignment="1">
      <alignment horizontal="left"/>
    </xf>
    <xf numFmtId="4" fontId="49" fillId="0" borderId="0" xfId="1025" applyNumberFormat="1" applyFont="1" applyAlignment="1">
      <alignment horizontal="right"/>
    </xf>
    <xf numFmtId="1" fontId="51" fillId="0" borderId="0" xfId="1025" applyNumberFormat="1" applyFont="1"/>
    <xf numFmtId="44" fontId="116" fillId="0" borderId="0" xfId="838" applyNumberFormat="1" applyFont="1"/>
    <xf numFmtId="164" fontId="205" fillId="0" borderId="0" xfId="0" applyFont="1"/>
    <xf numFmtId="170" fontId="205" fillId="0" borderId="0" xfId="0" applyNumberFormat="1" applyFont="1" applyAlignment="1">
      <alignment horizontal="right"/>
    </xf>
    <xf numFmtId="170" fontId="205" fillId="0" borderId="0" xfId="1" applyNumberFormat="1" applyFont="1"/>
    <xf numFmtId="164" fontId="51" fillId="0" borderId="69" xfId="1" quotePrefix="1" applyNumberFormat="1" applyFont="1" applyBorder="1"/>
    <xf numFmtId="170" fontId="205" fillId="0" borderId="0" xfId="1" applyNumberFormat="1" applyFont="1" applyAlignment="1">
      <alignment horizontal="right"/>
    </xf>
    <xf numFmtId="165" fontId="154" fillId="0" borderId="0" xfId="1" applyNumberFormat="1" applyFont="1"/>
    <xf numFmtId="170" fontId="44" fillId="0" borderId="0" xfId="17915" applyNumberFormat="1" applyFont="1" applyFill="1" applyAlignment="1"/>
    <xf numFmtId="41" fontId="206" fillId="0" borderId="61" xfId="837" applyNumberFormat="1" applyFont="1" applyBorder="1"/>
    <xf numFmtId="0" fontId="211" fillId="0" borderId="0" xfId="1" applyFont="1"/>
    <xf numFmtId="165" fontId="205" fillId="0" borderId="0" xfId="0" applyNumberFormat="1" applyFont="1" applyAlignment="1">
      <alignment horizontal="left"/>
    </xf>
    <xf numFmtId="0" fontId="205" fillId="0" borderId="0" xfId="1" applyFont="1"/>
    <xf numFmtId="170" fontId="205" fillId="0" borderId="0" xfId="5509" applyNumberFormat="1" applyFont="1"/>
    <xf numFmtId="170" fontId="205" fillId="0" borderId="0" xfId="1" quotePrefix="1" applyNumberFormat="1" applyFont="1"/>
    <xf numFmtId="170" fontId="205" fillId="0" borderId="16" xfId="1" applyNumberFormat="1" applyFont="1" applyBorder="1"/>
    <xf numFmtId="165" fontId="205" fillId="0" borderId="0" xfId="1" applyNumberFormat="1" applyFont="1"/>
    <xf numFmtId="165" fontId="221" fillId="0" borderId="14" xfId="1" applyNumberFormat="1" applyFont="1" applyBorder="1"/>
    <xf numFmtId="165" fontId="207" fillId="0" borderId="0" xfId="1" applyNumberFormat="1" applyFont="1"/>
    <xf numFmtId="165" fontId="221" fillId="0" borderId="0" xfId="1" applyNumberFormat="1" applyFont="1"/>
    <xf numFmtId="170" fontId="205" fillId="0" borderId="0" xfId="4" applyNumberFormat="1" applyFont="1" applyFill="1" applyProtection="1"/>
    <xf numFmtId="170" fontId="205" fillId="0" borderId="0" xfId="0" applyNumberFormat="1" applyFont="1" applyAlignment="1" applyProtection="1">
      <alignment horizontal="right"/>
      <protection locked="0"/>
    </xf>
    <xf numFmtId="170" fontId="205" fillId="0" borderId="27" xfId="1" applyNumberFormat="1" applyFont="1" applyBorder="1"/>
    <xf numFmtId="166" fontId="51" fillId="0" borderId="74" xfId="1" applyNumberFormat="1" applyFont="1" applyBorder="1"/>
    <xf numFmtId="170" fontId="65" fillId="0" borderId="74" xfId="1" applyNumberFormat="1" applyFont="1" applyBorder="1"/>
    <xf numFmtId="164" fontId="44" fillId="0" borderId="0" xfId="0" applyFont="1" applyAlignment="1">
      <alignment horizontal="center"/>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0" borderId="45" xfId="1" applyFont="1" applyBorder="1" applyAlignment="1" applyProtection="1">
      <alignment horizontal="center"/>
      <protection locked="0"/>
    </xf>
    <xf numFmtId="166" fontId="51" fillId="0" borderId="45" xfId="1" applyNumberFormat="1" applyFont="1" applyBorder="1" applyAlignment="1">
      <alignment horizontal="center"/>
    </xf>
    <xf numFmtId="0" fontId="51" fillId="0" borderId="45" xfId="1" quotePrefix="1" applyFont="1" applyBorder="1" applyAlignment="1">
      <alignment horizontal="center"/>
    </xf>
    <xf numFmtId="0" fontId="87" fillId="0" borderId="0" xfId="3"/>
    <xf numFmtId="0" fontId="51" fillId="0" borderId="45" xfId="3" quotePrefix="1" applyFont="1" applyBorder="1" applyAlignment="1">
      <alignment horizontal="center"/>
    </xf>
    <xf numFmtId="0" fontId="0" fillId="0" borderId="45" xfId="1" applyFont="1" applyBorder="1"/>
    <xf numFmtId="180" fontId="49" fillId="0" borderId="0" xfId="1769" applyNumberFormat="1" applyFont="1" applyAlignment="1">
      <alignment horizontal="left" vertical="top" wrapText="1"/>
    </xf>
    <xf numFmtId="3" fontId="205" fillId="0" borderId="0" xfId="1" applyNumberFormat="1" applyFont="1"/>
    <xf numFmtId="166" fontId="205" fillId="0" borderId="0" xfId="1" applyNumberFormat="1" applyFont="1"/>
    <xf numFmtId="166" fontId="44" fillId="0" borderId="27" xfId="1" applyNumberFormat="1" applyBorder="1" applyAlignment="1">
      <alignment horizontal="center"/>
    </xf>
    <xf numFmtId="166" fontId="44" fillId="0" borderId="27" xfId="1" applyNumberFormat="1" applyBorder="1"/>
    <xf numFmtId="170" fontId="65" fillId="0" borderId="75" xfId="1" applyNumberFormat="1" applyFont="1" applyBorder="1"/>
    <xf numFmtId="170" fontId="64" fillId="0" borderId="75" xfId="1" applyNumberFormat="1" applyFont="1" applyBorder="1"/>
    <xf numFmtId="170" fontId="44" fillId="0" borderId="76" xfId="1" quotePrefix="1" applyNumberFormat="1" applyBorder="1"/>
    <xf numFmtId="170" fontId="44" fillId="0" borderId="76" xfId="1" applyNumberFormat="1" applyBorder="1"/>
    <xf numFmtId="170" fontId="44" fillId="0" borderId="76" xfId="1" applyNumberFormat="1" applyBorder="1" applyAlignment="1">
      <alignment horizontal="right"/>
    </xf>
    <xf numFmtId="170" fontId="51" fillId="0" borderId="76" xfId="1" applyNumberFormat="1" applyFont="1" applyBorder="1"/>
    <xf numFmtId="165" fontId="44" fillId="0" borderId="76" xfId="1" applyNumberFormat="1" applyBorder="1"/>
    <xf numFmtId="174" fontId="51" fillId="0" borderId="76" xfId="3" applyNumberFormat="1" applyFont="1" applyBorder="1"/>
    <xf numFmtId="0" fontId="44" fillId="0" borderId="76" xfId="3" applyFont="1" applyBorder="1"/>
    <xf numFmtId="166" fontId="44" fillId="0" borderId="76" xfId="3" applyNumberFormat="1" applyFont="1" applyBorder="1"/>
    <xf numFmtId="170" fontId="44" fillId="0" borderId="76" xfId="3" applyNumberFormat="1" applyFont="1" applyBorder="1"/>
    <xf numFmtId="170" fontId="51" fillId="0" borderId="76" xfId="3" applyNumberFormat="1" applyFont="1" applyBorder="1"/>
    <xf numFmtId="174" fontId="51" fillId="0" borderId="76" xfId="1" applyNumberFormat="1" applyFont="1" applyBorder="1"/>
    <xf numFmtId="166" fontId="44" fillId="0" borderId="76" xfId="1" applyNumberFormat="1" applyBorder="1"/>
    <xf numFmtId="170" fontId="44" fillId="0" borderId="76" xfId="1" applyNumberFormat="1" applyBorder="1" applyAlignment="1">
      <alignment horizontal="center"/>
    </xf>
    <xf numFmtId="170" fontId="51" fillId="0" borderId="76" xfId="49849" applyNumberFormat="1" applyFont="1" applyFill="1" applyBorder="1" applyAlignment="1" applyProtection="1"/>
    <xf numFmtId="49" fontId="51" fillId="0" borderId="29" xfId="737" quotePrefix="1" applyNumberFormat="1" applyFont="1" applyBorder="1" applyAlignment="1">
      <alignment horizontal="center"/>
    </xf>
    <xf numFmtId="185" fontId="51" fillId="0" borderId="29" xfId="0" applyNumberFormat="1" applyFont="1" applyBorder="1" applyAlignment="1">
      <alignment horizontal="center"/>
    </xf>
    <xf numFmtId="39" fontId="51" fillId="0" borderId="29" xfId="0" applyNumberFormat="1" applyFont="1" applyBorder="1" applyAlignment="1">
      <alignment horizontal="center"/>
    </xf>
    <xf numFmtId="39" fontId="51" fillId="0" borderId="45" xfId="1769" applyNumberFormat="1" applyFont="1" applyBorder="1" applyAlignment="1">
      <alignment horizontal="center"/>
    </xf>
    <xf numFmtId="43" fontId="44" fillId="0" borderId="45" xfId="1769" applyNumberFormat="1" applyBorder="1" applyAlignment="1">
      <alignment horizontal="right"/>
    </xf>
    <xf numFmtId="43" fontId="51" fillId="0" borderId="45" xfId="1769" applyNumberFormat="1" applyFont="1" applyBorder="1"/>
    <xf numFmtId="44" fontId="51" fillId="0" borderId="51" xfId="1769" applyNumberFormat="1" applyFont="1" applyBorder="1"/>
    <xf numFmtId="43" fontId="44" fillId="0" borderId="45" xfId="1769" applyNumberFormat="1" applyBorder="1"/>
    <xf numFmtId="43" fontId="51" fillId="0" borderId="45" xfId="1769" applyNumberFormat="1" applyFont="1" applyBorder="1" applyAlignment="1">
      <alignment horizontal="right"/>
    </xf>
    <xf numFmtId="44" fontId="51" fillId="0" borderId="51" xfId="1769" applyNumberFormat="1" applyFont="1" applyBorder="1" applyAlignment="1">
      <alignment horizontal="right"/>
    </xf>
    <xf numFmtId="41" fontId="44" fillId="0" borderId="45" xfId="837" applyNumberFormat="1" applyFont="1" applyBorder="1"/>
    <xf numFmtId="41" fontId="44" fillId="0" borderId="61" xfId="837" applyNumberFormat="1" applyFont="1" applyBorder="1"/>
    <xf numFmtId="0" fontId="44" fillId="0" borderId="45" xfId="14" applyNumberFormat="1" applyBorder="1" applyAlignment="1">
      <alignment horizontal="center"/>
    </xf>
    <xf numFmtId="44" fontId="44" fillId="0" borderId="0" xfId="25858" applyFont="1" applyFill="1" applyBorder="1"/>
    <xf numFmtId="43" fontId="44" fillId="0" borderId="0" xfId="25859" applyFont="1" applyFill="1" applyBorder="1"/>
    <xf numFmtId="43" fontId="160" fillId="0" borderId="0" xfId="737" applyNumberFormat="1" applyFont="1"/>
    <xf numFmtId="43" fontId="161" fillId="0" borderId="0" xfId="737" applyNumberFormat="1" applyFont="1" applyAlignment="1">
      <alignment horizontal="center"/>
    </xf>
    <xf numFmtId="43" fontId="161" fillId="0" borderId="0" xfId="737" quotePrefix="1" applyNumberFormat="1" applyFont="1" applyAlignment="1">
      <alignment horizontal="center"/>
    </xf>
    <xf numFmtId="43" fontId="160" fillId="0" borderId="0" xfId="737" applyNumberFormat="1" applyFont="1" applyAlignment="1">
      <alignment horizontal="left"/>
    </xf>
    <xf numFmtId="43" fontId="160" fillId="0" borderId="0" xfId="737" quotePrefix="1" applyNumberFormat="1" applyFont="1" applyAlignment="1">
      <alignment horizontal="center"/>
    </xf>
    <xf numFmtId="43" fontId="160" fillId="0" borderId="0" xfId="737" applyNumberFormat="1" applyFont="1" applyAlignment="1">
      <alignment horizontal="center"/>
    </xf>
    <xf numFmtId="43" fontId="161" fillId="0" borderId="0" xfId="737" applyNumberFormat="1" applyFont="1" applyAlignment="1">
      <alignment horizontal="right"/>
    </xf>
    <xf numFmtId="43" fontId="160" fillId="0" borderId="0" xfId="737" applyNumberFormat="1" applyFont="1" applyAlignment="1">
      <alignment horizontal="right"/>
    </xf>
    <xf numFmtId="181" fontId="209" fillId="0" borderId="0" xfId="0" applyNumberFormat="1" applyFont="1"/>
    <xf numFmtId="44" fontId="111" fillId="0" borderId="54" xfId="49849" applyFont="1" applyBorder="1"/>
    <xf numFmtId="164" fontId="111" fillId="0" borderId="45" xfId="0" applyFont="1" applyBorder="1" applyAlignment="1">
      <alignment horizontal="center" wrapText="1"/>
    </xf>
    <xf numFmtId="43" fontId="50" fillId="0" borderId="0" xfId="9958" quotePrefix="1" applyNumberFormat="1" applyFont="1" applyAlignment="1">
      <alignment horizontal="center"/>
    </xf>
    <xf numFmtId="42" fontId="50" fillId="0" borderId="0" xfId="0" applyNumberFormat="1" applyFont="1" applyAlignment="1">
      <alignment horizontal="right"/>
    </xf>
    <xf numFmtId="165" fontId="49" fillId="0" borderId="0" xfId="1" applyNumberFormat="1" applyFont="1" applyAlignment="1">
      <alignment horizontal="centerContinuous"/>
    </xf>
    <xf numFmtId="170" fontId="69" fillId="0" borderId="0" xfId="1" applyNumberFormat="1" applyFont="1" applyAlignment="1">
      <alignment horizontal="right"/>
    </xf>
    <xf numFmtId="43" fontId="44" fillId="0" borderId="0" xfId="17915" applyFont="1" applyFill="1" applyAlignment="1" applyProtection="1">
      <alignment horizontal="center"/>
    </xf>
    <xf numFmtId="189" fontId="4" fillId="0" borderId="64" xfId="8" applyNumberFormat="1" applyFont="1" applyFill="1" applyBorder="1" applyAlignment="1"/>
    <xf numFmtId="0" fontId="177" fillId="0" borderId="0" xfId="25853"/>
    <xf numFmtId="0" fontId="42" fillId="0" borderId="0" xfId="25853" applyFont="1" applyAlignment="1">
      <alignment horizontal="left"/>
    </xf>
    <xf numFmtId="43" fontId="177" fillId="0" borderId="0" xfId="25853" applyNumberFormat="1"/>
    <xf numFmtId="0" fontId="178" fillId="0" borderId="0" xfId="25853" applyFont="1" applyAlignment="1">
      <alignment horizontal="left"/>
    </xf>
    <xf numFmtId="0" fontId="72" fillId="0" borderId="0" xfId="25853" quotePrefix="1" applyFont="1" applyAlignment="1">
      <alignment horizontal="left"/>
    </xf>
    <xf numFmtId="0" fontId="45" fillId="0" borderId="0" xfId="25853" quotePrefix="1" applyFont="1" applyAlignment="1">
      <alignment horizontal="left"/>
    </xf>
    <xf numFmtId="0" fontId="148" fillId="0" borderId="0" xfId="25853" applyFont="1" applyAlignment="1">
      <alignment horizontal="left"/>
    </xf>
    <xf numFmtId="0" fontId="44" fillId="0" borderId="0" xfId="25853" applyFont="1"/>
    <xf numFmtId="0" fontId="183" fillId="0" borderId="0" xfId="25853" applyFont="1" applyAlignment="1">
      <alignment horizontal="center"/>
    </xf>
    <xf numFmtId="0" fontId="49" fillId="0" borderId="0" xfId="25853" applyFont="1"/>
    <xf numFmtId="0" fontId="44" fillId="0" borderId="0" xfId="25854" applyFont="1" applyBorder="1">
      <alignment horizontal="right"/>
    </xf>
    <xf numFmtId="0" fontId="0" fillId="0" borderId="0" xfId="25854" applyFont="1" applyBorder="1">
      <alignment horizontal="right"/>
    </xf>
    <xf numFmtId="0" fontId="55" fillId="0" borderId="0" xfId="25856" applyFont="1" applyBorder="1" applyAlignment="1">
      <alignment horizontal="left"/>
    </xf>
    <xf numFmtId="0" fontId="44" fillId="0" borderId="0" xfId="25856" applyFont="1"/>
    <xf numFmtId="0" fontId="0" fillId="0" borderId="0" xfId="25856" applyFont="1"/>
    <xf numFmtId="0" fontId="44" fillId="0" borderId="0" xfId="25856" applyFont="1" applyBorder="1" applyAlignment="1">
      <alignment horizontal="left"/>
    </xf>
    <xf numFmtId="0" fontId="160" fillId="0" borderId="0" xfId="25856" applyFont="1"/>
    <xf numFmtId="0" fontId="162" fillId="0" borderId="0" xfId="25862" applyFont="1" applyAlignment="1">
      <alignment horizontal="left" wrapText="1"/>
    </xf>
    <xf numFmtId="0" fontId="148" fillId="0" borderId="0" xfId="25862" applyFont="1"/>
    <xf numFmtId="0" fontId="111" fillId="0" borderId="0" xfId="25853" applyFont="1" applyAlignment="1">
      <alignment horizontal="left"/>
    </xf>
    <xf numFmtId="0" fontId="189" fillId="0" borderId="0" xfId="25853" applyFont="1" applyAlignment="1">
      <alignment horizontal="left" vertical="top"/>
    </xf>
    <xf numFmtId="0" fontId="162" fillId="0" borderId="0" xfId="25853" applyFont="1" applyAlignment="1">
      <alignment horizontal="left" vertical="top"/>
    </xf>
    <xf numFmtId="0" fontId="180" fillId="0" borderId="0" xfId="25853" quotePrefix="1" applyFont="1" applyAlignment="1">
      <alignment horizontal="left"/>
    </xf>
    <xf numFmtId="0" fontId="55" fillId="0" borderId="0" xfId="25853" applyFont="1" applyAlignment="1">
      <alignment horizontal="left"/>
    </xf>
    <xf numFmtId="0" fontId="186" fillId="0" borderId="0" xfId="25853" applyFont="1" applyAlignment="1">
      <alignment horizontal="center"/>
    </xf>
    <xf numFmtId="0" fontId="185" fillId="0" borderId="0" xfId="25853" applyFont="1"/>
    <xf numFmtId="0" fontId="162" fillId="0" borderId="0" xfId="25853" applyFont="1" applyAlignment="1">
      <alignment horizontal="left"/>
    </xf>
    <xf numFmtId="0" fontId="162" fillId="0" borderId="0" xfId="25853" applyFont="1" applyAlignment="1">
      <alignment horizontal="left" vertical="top" wrapText="1"/>
    </xf>
    <xf numFmtId="166" fontId="44" fillId="0" borderId="0" xfId="0" applyNumberFormat="1" applyFont="1"/>
    <xf numFmtId="166" fontId="51" fillId="0" borderId="0" xfId="0" applyNumberFormat="1" applyFont="1"/>
    <xf numFmtId="166" fontId="44" fillId="0" borderId="0" xfId="0" applyNumberFormat="1" applyFont="1" applyAlignment="1">
      <alignment horizontal="center"/>
    </xf>
    <xf numFmtId="174" fontId="51" fillId="0" borderId="51" xfId="0" applyNumberFormat="1" applyFont="1" applyBorder="1"/>
    <xf numFmtId="166" fontId="51" fillId="0" borderId="0" xfId="0" quotePrefix="1" applyNumberFormat="1" applyFont="1" applyAlignment="1">
      <alignment horizontal="center"/>
    </xf>
    <xf numFmtId="166" fontId="44" fillId="0" borderId="0" xfId="0" quotePrefix="1" applyNumberFormat="1" applyFont="1" applyAlignment="1">
      <alignment horizontal="center"/>
    </xf>
    <xf numFmtId="166" fontId="44" fillId="0" borderId="0" xfId="0" quotePrefix="1" applyNumberFormat="1" applyFont="1"/>
    <xf numFmtId="174" fontId="51" fillId="0" borderId="0" xfId="0" applyNumberFormat="1" applyFont="1"/>
    <xf numFmtId="0" fontId="71" fillId="0" borderId="0" xfId="1769" applyFont="1"/>
    <xf numFmtId="165" fontId="49" fillId="0" borderId="0" xfId="0" applyNumberFormat="1" applyFont="1" applyAlignment="1">
      <alignment horizontal="left"/>
    </xf>
    <xf numFmtId="165" fontId="49" fillId="0" borderId="0" xfId="0" applyNumberFormat="1" applyFont="1" applyAlignment="1">
      <alignment horizontal="centerContinuous"/>
    </xf>
    <xf numFmtId="0" fontId="71" fillId="0" borderId="0" xfId="0" applyNumberFormat="1" applyFont="1"/>
    <xf numFmtId="165" fontId="72" fillId="0" borderId="0" xfId="0" quotePrefix="1" applyNumberFormat="1" applyFont="1" applyAlignment="1">
      <alignment horizontal="left"/>
    </xf>
    <xf numFmtId="165" fontId="44" fillId="0" borderId="0" xfId="0" applyNumberFormat="1" applyFont="1" applyAlignment="1">
      <alignment horizontal="centerContinuous"/>
    </xf>
    <xf numFmtId="165" fontId="71" fillId="0" borderId="0" xfId="0" applyNumberFormat="1" applyFont="1"/>
    <xf numFmtId="165" fontId="72" fillId="0" borderId="0" xfId="0" applyNumberFormat="1" applyFont="1" applyAlignment="1">
      <alignment horizontal="left"/>
    </xf>
    <xf numFmtId="165" fontId="51" fillId="0" borderId="0" xfId="0" quotePrefix="1" applyNumberFormat="1" applyFont="1" applyAlignment="1">
      <alignment horizontal="centerContinuous"/>
    </xf>
    <xf numFmtId="0" fontId="51" fillId="0" borderId="45" xfId="0" quotePrefix="1" applyNumberFormat="1" applyFont="1" applyBorder="1" applyAlignment="1">
      <alignment horizontal="center"/>
    </xf>
    <xf numFmtId="0" fontId="51" fillId="0" borderId="0" xfId="0" applyNumberFormat="1" applyFont="1"/>
    <xf numFmtId="0" fontId="44" fillId="0" borderId="0" xfId="0" applyNumberFormat="1" applyFont="1"/>
    <xf numFmtId="0" fontId="44" fillId="0" borderId="0" xfId="0" quotePrefix="1" applyNumberFormat="1" applyFont="1" applyAlignment="1">
      <alignment horizontal="left"/>
    </xf>
    <xf numFmtId="165" fontId="79" fillId="0" borderId="0" xfId="0" applyNumberFormat="1" applyFont="1"/>
    <xf numFmtId="0" fontId="51" fillId="0" borderId="0" xfId="0" quotePrefix="1" applyNumberFormat="1" applyFont="1" applyAlignment="1">
      <alignment horizontal="left"/>
    </xf>
    <xf numFmtId="37" fontId="51" fillId="0" borderId="0" xfId="1" quotePrefix="1" applyNumberFormat="1" applyFont="1"/>
    <xf numFmtId="170" fontId="44" fillId="0" borderId="19" xfId="0" applyNumberFormat="1" applyFont="1" applyBorder="1" applyAlignment="1">
      <alignment horizontal="right"/>
    </xf>
    <xf numFmtId="169" fontId="44" fillId="0" borderId="0" xfId="5" applyNumberFormat="1" applyFont="1"/>
    <xf numFmtId="44" fontId="51" fillId="0" borderId="0" xfId="1769" applyNumberFormat="1" applyFont="1" applyAlignment="1">
      <alignment horizontal="right"/>
    </xf>
    <xf numFmtId="43" fontId="44" fillId="0" borderId="76" xfId="1769" applyNumberFormat="1" applyBorder="1"/>
    <xf numFmtId="0" fontId="71" fillId="0" borderId="0" xfId="1" applyFont="1" applyAlignment="1">
      <alignment horizontal="left"/>
    </xf>
    <xf numFmtId="0" fontId="49" fillId="0" borderId="0" xfId="1" applyFont="1" applyAlignment="1">
      <alignment horizontal="left"/>
    </xf>
    <xf numFmtId="170" fontId="205" fillId="0" borderId="0" xfId="0" applyNumberFormat="1" applyFont="1"/>
    <xf numFmtId="165" fontId="51" fillId="0" borderId="64" xfId="0" applyNumberFormat="1" applyFont="1" applyBorder="1" applyAlignment="1">
      <alignment horizontal="center"/>
    </xf>
    <xf numFmtId="174" fontId="44" fillId="0" borderId="0" xfId="0" applyNumberFormat="1" applyFont="1"/>
    <xf numFmtId="170" fontId="44" fillId="0" borderId="64" xfId="0" applyNumberFormat="1" applyFont="1" applyBorder="1"/>
    <xf numFmtId="166" fontId="51" fillId="0" borderId="64" xfId="0" applyNumberFormat="1" applyFont="1" applyBorder="1"/>
    <xf numFmtId="165" fontId="205" fillId="0" borderId="0" xfId="0" applyNumberFormat="1" applyFont="1"/>
    <xf numFmtId="165" fontId="211" fillId="0" borderId="0" xfId="0" applyNumberFormat="1" applyFont="1"/>
    <xf numFmtId="165" fontId="212" fillId="0" borderId="0" xfId="0" applyNumberFormat="1" applyFont="1"/>
    <xf numFmtId="165" fontId="47" fillId="0" borderId="0" xfId="0" applyNumberFormat="1" applyFont="1"/>
    <xf numFmtId="39" fontId="213" fillId="0" borderId="0" xfId="0" applyNumberFormat="1" applyFont="1" applyAlignment="1">
      <alignment horizontal="left"/>
    </xf>
    <xf numFmtId="164" fontId="205" fillId="0" borderId="0" xfId="0" applyFont="1" applyAlignment="1">
      <alignment horizontal="left"/>
    </xf>
    <xf numFmtId="166" fontId="213" fillId="0" borderId="0" xfId="0" applyNumberFormat="1" applyFont="1" applyAlignment="1">
      <alignment horizontal="right"/>
    </xf>
    <xf numFmtId="166" fontId="207" fillId="0" borderId="0" xfId="0" applyNumberFormat="1" applyFont="1"/>
    <xf numFmtId="166" fontId="215" fillId="0" borderId="0" xfId="0" applyNumberFormat="1" applyFont="1"/>
    <xf numFmtId="166" fontId="206" fillId="0" borderId="0" xfId="0" applyNumberFormat="1" applyFont="1" applyAlignment="1">
      <alignment horizontal="right"/>
    </xf>
    <xf numFmtId="166" fontId="206" fillId="0" borderId="0" xfId="0" quotePrefix="1" applyNumberFormat="1" applyFont="1" applyAlignment="1">
      <alignment horizontal="right"/>
    </xf>
    <xf numFmtId="166" fontId="206" fillId="0" borderId="0" xfId="0" applyNumberFormat="1" applyFont="1" applyAlignment="1">
      <alignment horizontal="center"/>
    </xf>
    <xf numFmtId="166" fontId="206" fillId="0" borderId="0" xfId="0" applyNumberFormat="1" applyFont="1"/>
    <xf numFmtId="166" fontId="205" fillId="0" borderId="0" xfId="0" applyNumberFormat="1" applyFont="1"/>
    <xf numFmtId="166" fontId="206" fillId="0" borderId="45" xfId="0" applyNumberFormat="1" applyFont="1" applyBorder="1" applyAlignment="1">
      <alignment horizontal="centerContinuous"/>
    </xf>
    <xf numFmtId="166" fontId="206" fillId="0" borderId="0" xfId="0" quotePrefix="1" applyNumberFormat="1" applyFont="1" applyAlignment="1">
      <alignment horizontal="center"/>
    </xf>
    <xf numFmtId="166" fontId="205" fillId="0" borderId="0" xfId="0" applyNumberFormat="1" applyFont="1" applyAlignment="1">
      <alignment horizontal="center"/>
    </xf>
    <xf numFmtId="166" fontId="206" fillId="0" borderId="45" xfId="0" quotePrefix="1" applyNumberFormat="1" applyFont="1" applyBorder="1" applyAlignment="1">
      <alignment horizontal="center"/>
    </xf>
    <xf numFmtId="166" fontId="206" fillId="0" borderId="45" xfId="0" applyNumberFormat="1" applyFont="1" applyBorder="1" applyAlignment="1">
      <alignment horizontal="center"/>
    </xf>
    <xf numFmtId="166" fontId="205" fillId="0" borderId="74" xfId="0" applyNumberFormat="1" applyFont="1" applyBorder="1"/>
    <xf numFmtId="166" fontId="205" fillId="0" borderId="49" xfId="0" applyNumberFormat="1" applyFont="1" applyBorder="1"/>
    <xf numFmtId="166" fontId="205" fillId="0" borderId="14" xfId="0" applyNumberFormat="1" applyFont="1" applyBorder="1"/>
    <xf numFmtId="37" fontId="205" fillId="0" borderId="0" xfId="0" quotePrefix="1" applyNumberFormat="1" applyFont="1" applyAlignment="1">
      <alignment horizontal="left"/>
    </xf>
    <xf numFmtId="167" fontId="205" fillId="0" borderId="0" xfId="0" applyNumberFormat="1" applyFont="1"/>
    <xf numFmtId="167" fontId="205" fillId="0" borderId="74" xfId="0" applyNumberFormat="1" applyFont="1" applyBorder="1"/>
    <xf numFmtId="167" fontId="205" fillId="0" borderId="49" xfId="0" applyNumberFormat="1" applyFont="1" applyBorder="1"/>
    <xf numFmtId="167" fontId="205" fillId="0" borderId="14" xfId="0" applyNumberFormat="1" applyFont="1" applyBorder="1"/>
    <xf numFmtId="168" fontId="211" fillId="0" borderId="0" xfId="0" applyNumberFormat="1" applyFont="1"/>
    <xf numFmtId="37" fontId="205" fillId="0" borderId="0" xfId="0" applyNumberFormat="1" applyFont="1" applyAlignment="1">
      <alignment horizontal="left"/>
    </xf>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05" fillId="0" borderId="0" xfId="0" quotePrefix="1" applyNumberFormat="1" applyFont="1" applyAlignment="1">
      <alignment horizontal="left"/>
    </xf>
    <xf numFmtId="170" fontId="206" fillId="0" borderId="61" xfId="0" applyNumberFormat="1" applyFont="1" applyBorder="1" applyAlignment="1">
      <alignment horizontal="right"/>
    </xf>
    <xf numFmtId="170" fontId="206" fillId="0" borderId="0" xfId="0" applyNumberFormat="1" applyFont="1"/>
    <xf numFmtId="170" fontId="206" fillId="0" borderId="61" xfId="0" applyNumberFormat="1" applyFont="1" applyBorder="1"/>
    <xf numFmtId="170" fontId="206" fillId="0" borderId="74" xfId="0" applyNumberFormat="1" applyFont="1" applyBorder="1"/>
    <xf numFmtId="170" fontId="206" fillId="0" borderId="49" xfId="0" applyNumberFormat="1" applyFont="1" applyBorder="1"/>
    <xf numFmtId="170" fontId="206" fillId="0" borderId="14" xfId="0" applyNumberFormat="1" applyFont="1" applyBorder="1"/>
    <xf numFmtId="165" fontId="216" fillId="0" borderId="0" xfId="0" applyNumberFormat="1" applyFont="1"/>
    <xf numFmtId="164" fontId="206" fillId="0" borderId="61" xfId="0" applyFont="1" applyBorder="1"/>
    <xf numFmtId="170" fontId="205" fillId="0" borderId="0" xfId="0" applyNumberFormat="1" applyFont="1" applyAlignment="1">
      <alignment horizontal="center"/>
    </xf>
    <xf numFmtId="170" fontId="205" fillId="0" borderId="0" xfId="0" quotePrefix="1" applyNumberFormat="1" applyFont="1" applyAlignment="1">
      <alignment horizontal="center"/>
    </xf>
    <xf numFmtId="166" fontId="205" fillId="0" borderId="0" xfId="0" quotePrefix="1" applyNumberFormat="1" applyFont="1" applyAlignment="1">
      <alignment horizontal="center"/>
    </xf>
    <xf numFmtId="3" fontId="205" fillId="0" borderId="0" xfId="0" applyNumberFormat="1" applyFont="1"/>
    <xf numFmtId="170" fontId="205" fillId="0" borderId="14" xfId="0" quotePrefix="1" applyNumberFormat="1" applyFont="1" applyBorder="1" applyAlignment="1">
      <alignment horizontal="right"/>
    </xf>
    <xf numFmtId="166" fontId="205" fillId="0" borderId="0" xfId="0" quotePrefix="1" applyNumberFormat="1" applyFont="1" applyAlignment="1">
      <alignment horizontal="left"/>
    </xf>
    <xf numFmtId="172" fontId="205" fillId="0" borderId="0" xfId="0" applyNumberFormat="1" applyFont="1"/>
    <xf numFmtId="166" fontId="205" fillId="0" borderId="0" xfId="0" quotePrefix="1" applyNumberFormat="1" applyFont="1"/>
    <xf numFmtId="3" fontId="205" fillId="0" borderId="0" xfId="0" applyNumberFormat="1" applyFont="1" applyAlignment="1">
      <alignment horizontal="left"/>
    </xf>
    <xf numFmtId="173" fontId="44" fillId="0" borderId="0" xfId="0" applyNumberFormat="1" applyFont="1"/>
    <xf numFmtId="170" fontId="205" fillId="0" borderId="45" xfId="0" applyNumberFormat="1" applyFont="1" applyBorder="1"/>
    <xf numFmtId="170" fontId="206" fillId="0" borderId="45" xfId="0" applyNumberFormat="1" applyFont="1" applyBorder="1"/>
    <xf numFmtId="172" fontId="206" fillId="0" borderId="45" xfId="0" applyNumberFormat="1" applyFont="1" applyBorder="1"/>
    <xf numFmtId="170" fontId="160" fillId="0" borderId="49" xfId="0" applyNumberFormat="1" applyFont="1" applyBorder="1"/>
    <xf numFmtId="170" fontId="160" fillId="0" borderId="0" xfId="0" applyNumberFormat="1" applyFont="1"/>
    <xf numFmtId="170" fontId="205" fillId="0" borderId="14" xfId="0" applyNumberFormat="1" applyFont="1" applyBorder="1" applyAlignment="1">
      <alignment horizontal="center"/>
    </xf>
    <xf numFmtId="164" fontId="205" fillId="0" borderId="45" xfId="0" applyFont="1" applyBorder="1"/>
    <xf numFmtId="170" fontId="206" fillId="0" borderId="61" xfId="0" quotePrefix="1" applyNumberFormat="1" applyFont="1" applyBorder="1" applyAlignment="1">
      <alignment horizontal="right"/>
    </xf>
    <xf numFmtId="170" fontId="161" fillId="0" borderId="49" xfId="0" applyNumberFormat="1" applyFont="1" applyBorder="1"/>
    <xf numFmtId="170" fontId="161" fillId="0" borderId="0" xfId="0" applyNumberFormat="1" applyFont="1"/>
    <xf numFmtId="170" fontId="206" fillId="0" borderId="0" xfId="0" quotePrefix="1" applyNumberFormat="1" applyFont="1" applyAlignment="1">
      <alignment horizontal="right"/>
    </xf>
    <xf numFmtId="173" fontId="205" fillId="0" borderId="0" xfId="0" applyNumberFormat="1" applyFont="1"/>
    <xf numFmtId="170" fontId="161" fillId="0" borderId="14" xfId="0" applyNumberFormat="1" applyFont="1" applyBorder="1"/>
    <xf numFmtId="172" fontId="206" fillId="0" borderId="0" xfId="0" applyNumberFormat="1" applyFont="1"/>
    <xf numFmtId="170" fontId="160" fillId="0" borderId="14" xfId="0" applyNumberFormat="1" applyFont="1" applyBorder="1"/>
    <xf numFmtId="166" fontId="206" fillId="0" borderId="0" xfId="0" applyNumberFormat="1" applyFont="1" applyAlignment="1">
      <alignment horizontal="left"/>
    </xf>
    <xf numFmtId="164" fontId="206" fillId="0" borderId="45" xfId="0" applyFont="1" applyBorder="1"/>
    <xf numFmtId="174" fontId="206" fillId="0" borderId="51" xfId="0" applyNumberFormat="1" applyFont="1" applyBorder="1"/>
    <xf numFmtId="174" fontId="206" fillId="0" borderId="0" xfId="0" applyNumberFormat="1" applyFont="1"/>
    <xf numFmtId="174" fontId="161" fillId="0" borderId="49" xfId="0" applyNumberFormat="1" applyFont="1" applyBorder="1"/>
    <xf numFmtId="174" fontId="161" fillId="0" borderId="0" xfId="0" applyNumberFormat="1" applyFont="1"/>
    <xf numFmtId="174" fontId="161" fillId="0" borderId="14" xfId="0" applyNumberFormat="1" applyFont="1" applyBorder="1"/>
    <xf numFmtId="164" fontId="206" fillId="0" borderId="51" xfId="0" applyFont="1" applyBorder="1"/>
    <xf numFmtId="169" fontId="51" fillId="0" borderId="0" xfId="0" applyNumberFormat="1" applyFont="1"/>
    <xf numFmtId="165" fontId="54" fillId="0" borderId="0" xfId="0" applyNumberFormat="1" applyFont="1"/>
    <xf numFmtId="166" fontId="216" fillId="0" borderId="0" xfId="0" applyNumberFormat="1" applyFont="1"/>
    <xf numFmtId="166" fontId="211" fillId="0" borderId="0" xfId="0" applyNumberFormat="1" applyFont="1"/>
    <xf numFmtId="165" fontId="218" fillId="0" borderId="0" xfId="0" applyNumberFormat="1" applyFont="1"/>
    <xf numFmtId="165" fontId="206" fillId="0" borderId="0" xfId="0" applyNumberFormat="1" applyFont="1"/>
    <xf numFmtId="166" fontId="219" fillId="0" borderId="0" xfId="0" quotePrefix="1" applyNumberFormat="1" applyFont="1" applyAlignment="1">
      <alignment horizontal="left"/>
    </xf>
    <xf numFmtId="166" fontId="219" fillId="0" borderId="0" xfId="0" applyNumberFormat="1" applyFont="1" applyAlignment="1">
      <alignment horizontal="left"/>
    </xf>
    <xf numFmtId="165" fontId="219" fillId="0" borderId="0" xfId="0" applyNumberFormat="1" applyFont="1"/>
    <xf numFmtId="165" fontId="220" fillId="0" borderId="0" xfId="0" applyNumberFormat="1" applyFont="1"/>
    <xf numFmtId="165" fontId="143" fillId="0" borderId="0" xfId="0" applyNumberFormat="1" applyFont="1"/>
    <xf numFmtId="164" fontId="48" fillId="0" borderId="0" xfId="0" applyFont="1" applyAlignment="1">
      <alignment horizontal="left"/>
    </xf>
    <xf numFmtId="166" fontId="45" fillId="0" borderId="0" xfId="0" applyNumberFormat="1" applyFont="1" applyAlignment="1">
      <alignment horizontal="right"/>
    </xf>
    <xf numFmtId="166" fontId="45" fillId="0" borderId="0" xfId="0" applyNumberFormat="1" applyFont="1" applyAlignment="1">
      <alignment horizontal="left"/>
    </xf>
    <xf numFmtId="166" fontId="49" fillId="0" borderId="0" xfId="0" applyNumberFormat="1" applyFont="1"/>
    <xf numFmtId="166" fontId="144" fillId="0" borderId="0" xfId="0" applyNumberFormat="1" applyFont="1"/>
    <xf numFmtId="166" fontId="50" fillId="0" borderId="0" xfId="0" applyNumberFormat="1" applyFont="1"/>
    <xf numFmtId="165" fontId="60" fillId="0" borderId="0" xfId="0" applyNumberFormat="1" applyFont="1"/>
    <xf numFmtId="166" fontId="61" fillId="0" borderId="0" xfId="0" applyNumberFormat="1" applyFont="1" applyAlignment="1">
      <alignment horizontal="right"/>
    </xf>
    <xf numFmtId="166" fontId="51" fillId="0" borderId="0" xfId="0" applyNumberFormat="1" applyFont="1" applyAlignment="1">
      <alignment horizontal="center"/>
    </xf>
    <xf numFmtId="166" fontId="63" fillId="0" borderId="0" xfId="0" applyNumberFormat="1" applyFont="1"/>
    <xf numFmtId="166" fontId="62" fillId="0" borderId="0" xfId="0" applyNumberFormat="1" applyFont="1"/>
    <xf numFmtId="166" fontId="51" fillId="0" borderId="45" xfId="0" applyNumberFormat="1" applyFont="1" applyBorder="1" applyAlignment="1">
      <alignment horizontal="centerContinuous"/>
    </xf>
    <xf numFmtId="166" fontId="148" fillId="0" borderId="45" xfId="0" applyNumberFormat="1" applyFont="1" applyBorder="1" applyAlignment="1">
      <alignment horizontal="centerContinuous"/>
    </xf>
    <xf numFmtId="166" fontId="51" fillId="0" borderId="45" xfId="0" applyNumberFormat="1" applyFont="1" applyBorder="1" applyAlignment="1">
      <alignment horizontal="center"/>
    </xf>
    <xf numFmtId="166" fontId="62" fillId="0" borderId="45" xfId="0" applyNumberFormat="1" applyFont="1" applyBorder="1"/>
    <xf numFmtId="165" fontId="47" fillId="0" borderId="45" xfId="0" applyNumberFormat="1" applyFont="1" applyBorder="1"/>
    <xf numFmtId="166" fontId="64" fillId="0" borderId="0" xfId="0" applyNumberFormat="1" applyFont="1" applyAlignment="1">
      <alignment horizontal="center"/>
    </xf>
    <xf numFmtId="166" fontId="52" fillId="0" borderId="0" xfId="0" applyNumberFormat="1" applyFont="1" applyAlignment="1">
      <alignment horizontal="center"/>
    </xf>
    <xf numFmtId="166" fontId="51" fillId="0" borderId="45" xfId="0" quotePrefix="1" applyNumberFormat="1" applyFont="1" applyBorder="1" applyAlignment="1">
      <alignment horizontal="center"/>
    </xf>
    <xf numFmtId="166" fontId="44" fillId="0" borderId="0" xfId="0" quotePrefix="1" applyNumberFormat="1" applyFont="1" applyAlignment="1">
      <alignment horizontal="left"/>
    </xf>
    <xf numFmtId="166" fontId="44" fillId="0" borderId="19" xfId="0" applyNumberFormat="1" applyFont="1" applyBorder="1"/>
    <xf numFmtId="166" fontId="44" fillId="0" borderId="49" xfId="0" applyNumberFormat="1" applyFont="1" applyBorder="1"/>
    <xf numFmtId="166" fontId="53" fillId="0" borderId="14" xfId="0" applyNumberFormat="1" applyFont="1" applyBorder="1"/>
    <xf numFmtId="37" fontId="44" fillId="0" borderId="0" xfId="0" quotePrefix="1" applyNumberFormat="1" applyFont="1" applyAlignment="1">
      <alignment horizontal="left"/>
    </xf>
    <xf numFmtId="174" fontId="44" fillId="0" borderId="49" xfId="0" applyNumberFormat="1" applyFont="1" applyBorder="1"/>
    <xf numFmtId="169" fontId="44" fillId="0" borderId="0" xfId="0" applyNumberFormat="1" applyFont="1"/>
    <xf numFmtId="169" fontId="53" fillId="0" borderId="14" xfId="0" applyNumberFormat="1" applyFont="1" applyBorder="1"/>
    <xf numFmtId="168" fontId="47" fillId="0" borderId="0" xfId="0" applyNumberFormat="1" applyFont="1"/>
    <xf numFmtId="37" fontId="44" fillId="0" borderId="0" xfId="0" applyNumberFormat="1" applyFont="1" applyAlignment="1">
      <alignment horizontal="left"/>
    </xf>
    <xf numFmtId="170" fontId="44" fillId="0" borderId="49" xfId="0" applyNumberFormat="1" applyFont="1" applyBorder="1"/>
    <xf numFmtId="165" fontId="44" fillId="0" borderId="0" xfId="0" quotePrefix="1" applyNumberFormat="1" applyFont="1" applyAlignment="1">
      <alignment horizontal="left"/>
    </xf>
    <xf numFmtId="170" fontId="44" fillId="0" borderId="0" xfId="0" applyNumberFormat="1" applyFont="1" applyAlignment="1">
      <alignment horizontal="center"/>
    </xf>
    <xf numFmtId="170" fontId="44" fillId="0" borderId="49" xfId="0" applyNumberFormat="1" applyFont="1" applyBorder="1" applyAlignment="1">
      <alignment horizontal="center"/>
    </xf>
    <xf numFmtId="170" fontId="51" fillId="0" borderId="61" xfId="0" applyNumberFormat="1" applyFont="1" applyBorder="1"/>
    <xf numFmtId="170" fontId="64" fillId="0" borderId="0" xfId="0" applyNumberFormat="1" applyFont="1"/>
    <xf numFmtId="170" fontId="51" fillId="0" borderId="49" xfId="0" applyNumberFormat="1" applyFont="1" applyBorder="1"/>
    <xf numFmtId="166" fontId="52" fillId="0" borderId="14" xfId="0" applyNumberFormat="1" applyFont="1" applyBorder="1"/>
    <xf numFmtId="164" fontId="51" fillId="0" borderId="61" xfId="0" applyFont="1" applyBorder="1"/>
    <xf numFmtId="3" fontId="44" fillId="0" borderId="0" xfId="0" applyNumberFormat="1" applyFont="1"/>
    <xf numFmtId="3" fontId="44" fillId="0" borderId="0" xfId="0" applyNumberFormat="1" applyFont="1" applyAlignment="1">
      <alignment horizontal="left"/>
    </xf>
    <xf numFmtId="170" fontId="51" fillId="0" borderId="61" xfId="0" quotePrefix="1" applyNumberFormat="1" applyFont="1" applyBorder="1" applyAlignment="1">
      <alignment horizontal="center"/>
    </xf>
    <xf numFmtId="170" fontId="51" fillId="0" borderId="0" xfId="0" applyNumberFormat="1" applyFont="1" applyAlignment="1">
      <alignment horizontal="center"/>
    </xf>
    <xf numFmtId="170" fontId="51" fillId="0" borderId="49" xfId="0" applyNumberFormat="1" applyFont="1" applyBorder="1" applyAlignment="1">
      <alignment horizontal="center"/>
    </xf>
    <xf numFmtId="170" fontId="51" fillId="0" borderId="61" xfId="0" quotePrefix="1" applyNumberFormat="1" applyFont="1" applyBorder="1" applyAlignment="1">
      <alignment horizontal="right"/>
    </xf>
    <xf numFmtId="170" fontId="64" fillId="0" borderId="49" xfId="0" applyNumberFormat="1" applyFont="1" applyBorder="1"/>
    <xf numFmtId="166" fontId="51" fillId="0" borderId="0" xfId="0" quotePrefix="1" applyNumberFormat="1" applyFont="1" applyAlignment="1">
      <alignment horizontal="left"/>
    </xf>
    <xf numFmtId="174" fontId="64" fillId="0" borderId="0" xfId="0" applyNumberFormat="1" applyFont="1"/>
    <xf numFmtId="174" fontId="64" fillId="0" borderId="49" xfId="0" applyNumberFormat="1" applyFont="1" applyBorder="1"/>
    <xf numFmtId="169" fontId="52" fillId="0" borderId="14" xfId="0" applyNumberFormat="1" applyFont="1" applyBorder="1"/>
    <xf numFmtId="164" fontId="51" fillId="0" borderId="51" xfId="0" applyFont="1" applyBorder="1"/>
    <xf numFmtId="166" fontId="54" fillId="0" borderId="0" xfId="0" applyNumberFormat="1" applyFont="1"/>
    <xf numFmtId="166" fontId="47" fillId="0" borderId="0" xfId="0" applyNumberFormat="1" applyFont="1"/>
    <xf numFmtId="165" fontId="57" fillId="0" borderId="0" xfId="0" applyNumberFormat="1" applyFont="1"/>
    <xf numFmtId="166" fontId="52" fillId="0" borderId="0" xfId="0" applyNumberFormat="1" applyFont="1" applyAlignment="1">
      <alignment horizontal="left"/>
    </xf>
    <xf numFmtId="165" fontId="52" fillId="0" borderId="0" xfId="0" applyNumberFormat="1" applyFont="1"/>
    <xf numFmtId="165" fontId="53" fillId="0" borderId="0" xfId="0" applyNumberFormat="1" applyFont="1"/>
    <xf numFmtId="165" fontId="130" fillId="0" borderId="0" xfId="0" applyNumberFormat="1" applyFont="1"/>
    <xf numFmtId="165" fontId="225" fillId="0" borderId="0" xfId="0" applyNumberFormat="1" applyFont="1"/>
    <xf numFmtId="165" fontId="49" fillId="0" borderId="0" xfId="0" applyNumberFormat="1" applyFont="1"/>
    <xf numFmtId="0" fontId="209" fillId="0" borderId="0" xfId="857" applyFont="1"/>
    <xf numFmtId="0" fontId="160" fillId="0" borderId="0" xfId="5" applyFont="1" applyAlignment="1">
      <alignment horizontal="right"/>
    </xf>
    <xf numFmtId="192" fontId="210" fillId="0" borderId="0" xfId="17915" applyNumberFormat="1" applyFont="1"/>
    <xf numFmtId="192" fontId="226" fillId="0" borderId="0" xfId="17915" applyNumberFormat="1" applyFont="1"/>
    <xf numFmtId="165" fontId="160" fillId="0" borderId="0" xfId="1" applyNumberFormat="1" applyFont="1" applyProtection="1">
      <protection locked="0"/>
    </xf>
    <xf numFmtId="192" fontId="160" fillId="0" borderId="0" xfId="17915" applyNumberFormat="1" applyFont="1" applyProtection="1">
      <protection locked="0"/>
    </xf>
    <xf numFmtId="168" fontId="160" fillId="0" borderId="0" xfId="1" applyNumberFormat="1" applyFont="1" applyProtection="1">
      <protection locked="0"/>
    </xf>
    <xf numFmtId="165" fontId="161" fillId="0" borderId="0" xfId="1" applyNumberFormat="1" applyFont="1" applyProtection="1">
      <protection locked="0"/>
    </xf>
    <xf numFmtId="192" fontId="160" fillId="0" borderId="0" xfId="17915" applyNumberFormat="1" applyFont="1"/>
    <xf numFmtId="192" fontId="161" fillId="0" borderId="0" xfId="17915" applyNumberFormat="1" applyFont="1" applyProtection="1">
      <protection locked="0"/>
    </xf>
    <xf numFmtId="166" fontId="65" fillId="0" borderId="49" xfId="0" applyNumberFormat="1" applyFont="1" applyBorder="1"/>
    <xf numFmtId="165" fontId="44" fillId="0" borderId="49" xfId="1" applyNumberFormat="1" applyBorder="1"/>
    <xf numFmtId="0" fontId="44" fillId="0" borderId="49" xfId="1" applyBorder="1"/>
    <xf numFmtId="174" fontId="44" fillId="0" borderId="49" xfId="1" applyNumberFormat="1" applyBorder="1"/>
    <xf numFmtId="170" fontId="44" fillId="0" borderId="49" xfId="1" quotePrefix="1" applyNumberFormat="1" applyBorder="1" applyAlignment="1">
      <alignment horizontal="center"/>
    </xf>
    <xf numFmtId="170" fontId="51" fillId="0" borderId="49" xfId="1" applyNumberFormat="1" applyFont="1" applyBorder="1"/>
    <xf numFmtId="170" fontId="44" fillId="0" borderId="49" xfId="1" quotePrefix="1" applyNumberFormat="1" applyBorder="1" applyAlignment="1">
      <alignment horizontal="right"/>
    </xf>
    <xf numFmtId="170" fontId="51" fillId="0" borderId="49" xfId="1" quotePrefix="1" applyNumberFormat="1" applyFont="1" applyBorder="1" applyAlignment="1">
      <alignment horizontal="right"/>
    </xf>
    <xf numFmtId="170" fontId="51" fillId="0" borderId="49" xfId="1" applyNumberFormat="1" applyFont="1" applyBorder="1" applyAlignment="1">
      <alignment vertical="center"/>
    </xf>
    <xf numFmtId="170" fontId="44" fillId="0" borderId="45" xfId="1" quotePrefix="1" applyNumberFormat="1" applyBorder="1"/>
    <xf numFmtId="174" fontId="44" fillId="0" borderId="49" xfId="1" applyNumberFormat="1" applyBorder="1" applyAlignment="1">
      <alignment horizontal="right"/>
    </xf>
    <xf numFmtId="170" fontId="51" fillId="0" borderId="49" xfId="1" applyNumberFormat="1" applyFont="1" applyBorder="1" applyAlignment="1">
      <alignment horizontal="right"/>
    </xf>
    <xf numFmtId="170" fontId="44" fillId="0" borderId="49" xfId="1" quotePrefix="1" applyNumberFormat="1" applyBorder="1"/>
    <xf numFmtId="170" fontId="51" fillId="0" borderId="49" xfId="1" applyNumberFormat="1" applyFont="1" applyBorder="1" applyAlignment="1">
      <alignment horizontal="center"/>
    </xf>
    <xf numFmtId="174" fontId="51" fillId="0" borderId="49" xfId="1" applyNumberFormat="1" applyFont="1" applyBorder="1" applyAlignment="1">
      <alignment horizontal="right"/>
    </xf>
    <xf numFmtId="170" fontId="44" fillId="0" borderId="49" xfId="1" applyNumberFormat="1" applyBorder="1" applyAlignment="1">
      <alignment horizontal="right"/>
    </xf>
    <xf numFmtId="43" fontId="160" fillId="0" borderId="0" xfId="17915" applyFont="1"/>
    <xf numFmtId="43" fontId="161" fillId="0" borderId="0" xfId="17915" applyFont="1"/>
    <xf numFmtId="192" fontId="160" fillId="0" borderId="0" xfId="17915" applyNumberFormat="1" applyFont="1" applyAlignment="1">
      <alignment horizontal="right"/>
    </xf>
    <xf numFmtId="192" fontId="160" fillId="0" borderId="0" xfId="17915" applyNumberFormat="1" applyFont="1" applyBorder="1" applyAlignment="1"/>
    <xf numFmtId="192" fontId="160" fillId="0" borderId="0" xfId="17915" quotePrefix="1" applyNumberFormat="1" applyFont="1" applyBorder="1" applyAlignment="1">
      <alignment horizontal="right"/>
    </xf>
    <xf numFmtId="192" fontId="160" fillId="0" borderId="0" xfId="17915" quotePrefix="1" applyNumberFormat="1" applyFont="1" applyAlignment="1">
      <alignment horizontal="center"/>
    </xf>
    <xf numFmtId="192" fontId="160" fillId="0" borderId="0" xfId="17915" quotePrefix="1" applyNumberFormat="1" applyFont="1" applyAlignment="1">
      <alignment horizontal="right"/>
    </xf>
    <xf numFmtId="192" fontId="161" fillId="0" borderId="0" xfId="17915" applyNumberFormat="1" applyFont="1"/>
    <xf numFmtId="192" fontId="161" fillId="0" borderId="0" xfId="17915" applyNumberFormat="1" applyFont="1" applyAlignment="1">
      <alignment horizontal="right"/>
    </xf>
    <xf numFmtId="189" fontId="160" fillId="0" borderId="0" xfId="17915" applyNumberFormat="1" applyFont="1"/>
    <xf numFmtId="0" fontId="51" fillId="0" borderId="49" xfId="1" applyFont="1" applyBorder="1" applyAlignment="1">
      <alignment horizontal="center"/>
    </xf>
    <xf numFmtId="37" fontId="51" fillId="0" borderId="49" xfId="1" applyNumberFormat="1" applyFont="1" applyBorder="1" applyAlignment="1">
      <alignment horizontal="center"/>
    </xf>
    <xf numFmtId="37" fontId="49" fillId="0" borderId="49" xfId="1" applyNumberFormat="1" applyFont="1" applyBorder="1"/>
    <xf numFmtId="37" fontId="44" fillId="0" borderId="49" xfId="1" applyNumberFormat="1" applyBorder="1"/>
    <xf numFmtId="170" fontId="44" fillId="0" borderId="0" xfId="17915" applyNumberFormat="1" applyFont="1" applyFill="1" applyBorder="1" applyAlignment="1"/>
    <xf numFmtId="37" fontId="51" fillId="0" borderId="49" xfId="1" quotePrefix="1" applyNumberFormat="1" applyFont="1" applyBorder="1" applyAlignment="1">
      <alignment horizontal="center"/>
    </xf>
    <xf numFmtId="192" fontId="209" fillId="0" borderId="0" xfId="17915" applyNumberFormat="1" applyFont="1"/>
    <xf numFmtId="165" fontId="227" fillId="0" borderId="0" xfId="1" applyNumberFormat="1" applyFont="1"/>
    <xf numFmtId="192" fontId="49" fillId="0" borderId="0" xfId="17915" applyNumberFormat="1" applyFont="1"/>
    <xf numFmtId="192" fontId="50" fillId="0" borderId="0" xfId="17915" applyNumberFormat="1" applyFont="1"/>
    <xf numFmtId="165" fontId="209" fillId="0" borderId="0" xfId="1" applyNumberFormat="1" applyFont="1" applyAlignment="1">
      <alignment horizontal="right"/>
    </xf>
    <xf numFmtId="174" fontId="51" fillId="0" borderId="51" xfId="1" applyNumberFormat="1" applyFont="1" applyBorder="1"/>
    <xf numFmtId="170" fontId="44" fillId="0" borderId="75" xfId="1" applyNumberFormat="1" applyBorder="1"/>
    <xf numFmtId="170" fontId="51" fillId="0" borderId="75" xfId="1" applyNumberFormat="1" applyFont="1" applyBorder="1"/>
    <xf numFmtId="165" fontId="44" fillId="0" borderId="75" xfId="1" applyNumberFormat="1" applyBorder="1"/>
    <xf numFmtId="174" fontId="51" fillId="0" borderId="75" xfId="1" applyNumberFormat="1" applyFont="1" applyBorder="1"/>
    <xf numFmtId="166" fontId="65" fillId="0" borderId="14" xfId="1" applyNumberFormat="1" applyFont="1" applyBorder="1"/>
    <xf numFmtId="174" fontId="64" fillId="0" borderId="14" xfId="1" applyNumberFormat="1" applyFont="1" applyBorder="1"/>
    <xf numFmtId="170" fontId="65" fillId="0" borderId="14" xfId="1" applyNumberFormat="1" applyFont="1" applyBorder="1"/>
    <xf numFmtId="170" fontId="64" fillId="0" borderId="14" xfId="1" applyNumberFormat="1" applyFont="1" applyBorder="1"/>
    <xf numFmtId="170" fontId="69" fillId="0" borderId="14" xfId="1" applyNumberFormat="1" applyFont="1" applyBorder="1"/>
    <xf numFmtId="166" fontId="69" fillId="0" borderId="14" xfId="1" applyNumberFormat="1" applyFont="1" applyBorder="1"/>
    <xf numFmtId="174" fontId="70" fillId="0" borderId="14" xfId="1" applyNumberFormat="1" applyFont="1" applyBorder="1"/>
    <xf numFmtId="166" fontId="65" fillId="0" borderId="27" xfId="1" applyNumberFormat="1" applyFont="1" applyBorder="1"/>
    <xf numFmtId="174" fontId="64" fillId="0" borderId="27" xfId="1" applyNumberFormat="1" applyFont="1" applyBorder="1"/>
    <xf numFmtId="170" fontId="65" fillId="0" borderId="27" xfId="1" applyNumberFormat="1" applyFont="1" applyBorder="1"/>
    <xf numFmtId="170" fontId="64" fillId="0" borderId="27" xfId="1" applyNumberFormat="1" applyFont="1" applyBorder="1"/>
    <xf numFmtId="170" fontId="69" fillId="0" borderId="27" xfId="1" applyNumberFormat="1" applyFont="1" applyBorder="1"/>
    <xf numFmtId="170" fontId="70" fillId="0" borderId="27" xfId="1" applyNumberFormat="1" applyFont="1" applyBorder="1"/>
    <xf numFmtId="0" fontId="209" fillId="0" borderId="0" xfId="3" applyFont="1"/>
    <xf numFmtId="192" fontId="209" fillId="0" borderId="0" xfId="17915" applyNumberFormat="1" applyFont="1" applyFill="1" applyBorder="1" applyAlignment="1" applyProtection="1">
      <alignment horizontal="right"/>
    </xf>
    <xf numFmtId="192" fontId="209" fillId="0" borderId="0" xfId="17915" applyNumberFormat="1" applyFont="1" applyAlignment="1">
      <alignment horizontal="right"/>
    </xf>
    <xf numFmtId="174" fontId="51" fillId="0" borderId="0" xfId="1" quotePrefix="1" applyNumberFormat="1" applyFont="1" applyAlignment="1">
      <alignment horizontal="right"/>
    </xf>
    <xf numFmtId="169" fontId="51" fillId="0" borderId="0" xfId="1" applyNumberFormat="1" applyFont="1" applyAlignment="1" applyProtection="1">
      <alignment horizontal="right"/>
      <protection locked="0"/>
    </xf>
    <xf numFmtId="0" fontId="44" fillId="0" borderId="0" xfId="1" applyProtection="1">
      <protection locked="0"/>
    </xf>
    <xf numFmtId="174" fontId="64" fillId="0" borderId="0" xfId="1" applyNumberFormat="1" applyFont="1" applyAlignment="1">
      <alignment horizontal="right"/>
    </xf>
    <xf numFmtId="172" fontId="51" fillId="0" borderId="0" xfId="1933" applyNumberFormat="1" applyFont="1" applyAlignment="1"/>
    <xf numFmtId="170" fontId="65" fillId="0" borderId="64" xfId="1" applyNumberFormat="1" applyFont="1" applyBorder="1" applyAlignment="1">
      <alignment horizontal="right"/>
    </xf>
    <xf numFmtId="170" fontId="65" fillId="0" borderId="65" xfId="1" applyNumberFormat="1" applyFont="1" applyBorder="1" applyAlignment="1">
      <alignment horizontal="right"/>
    </xf>
    <xf numFmtId="0" fontId="44" fillId="0" borderId="0" xfId="1" applyAlignment="1">
      <alignment horizontal="center"/>
    </xf>
    <xf numFmtId="170" fontId="65" fillId="0" borderId="0" xfId="1" quotePrefix="1" applyNumberFormat="1" applyFont="1" applyAlignment="1">
      <alignment horizontal="right"/>
    </xf>
    <xf numFmtId="10" fontId="44" fillId="0" borderId="0" xfId="1933" applyNumberFormat="1" applyFont="1" applyFill="1" applyBorder="1" applyAlignment="1"/>
    <xf numFmtId="164" fontId="44" fillId="0" borderId="0" xfId="1933" applyNumberFormat="1" applyFont="1" applyFill="1" applyBorder="1" applyAlignment="1"/>
    <xf numFmtId="164" fontId="44" fillId="0" borderId="45" xfId="1933" applyNumberFormat="1" applyFont="1" applyBorder="1" applyAlignment="1"/>
    <xf numFmtId="170" fontId="64" fillId="0" borderId="0" xfId="1" applyNumberFormat="1" applyFont="1" applyAlignment="1">
      <alignment horizontal="center"/>
    </xf>
    <xf numFmtId="164" fontId="51" fillId="0" borderId="45" xfId="1933" applyNumberFormat="1" applyFont="1" applyFill="1" applyBorder="1" applyAlignment="1"/>
    <xf numFmtId="166" fontId="64" fillId="0" borderId="64" xfId="1" applyNumberFormat="1" applyFont="1" applyBorder="1"/>
    <xf numFmtId="166" fontId="64" fillId="0" borderId="64" xfId="1" applyNumberFormat="1" applyFont="1" applyBorder="1" applyAlignment="1">
      <alignment horizontal="right"/>
    </xf>
    <xf numFmtId="166" fontId="64" fillId="0" borderId="0" xfId="1" applyNumberFormat="1" applyFont="1" applyAlignment="1">
      <alignment horizontal="right"/>
    </xf>
    <xf numFmtId="166" fontId="70" fillId="0" borderId="0" xfId="1" applyNumberFormat="1" applyFont="1" applyAlignment="1">
      <alignment horizontal="right"/>
    </xf>
    <xf numFmtId="166" fontId="64" fillId="0" borderId="17" xfId="1" applyNumberFormat="1" applyFont="1" applyBorder="1"/>
    <xf numFmtId="174" fontId="64" fillId="0" borderId="73" xfId="1" applyNumberFormat="1" applyFont="1" applyBorder="1"/>
    <xf numFmtId="164" fontId="51" fillId="0" borderId="15" xfId="1933" applyNumberFormat="1" applyFont="1" applyBorder="1" applyAlignment="1"/>
    <xf numFmtId="166" fontId="69" fillId="0" borderId="20" xfId="1" applyNumberFormat="1" applyFont="1" applyBorder="1"/>
    <xf numFmtId="0" fontId="64" fillId="0" borderId="0" xfId="1" applyFont="1"/>
    <xf numFmtId="0" fontId="70" fillId="0" borderId="0" xfId="1" applyFont="1"/>
    <xf numFmtId="0" fontId="64" fillId="0" borderId="0" xfId="1" quotePrefix="1" applyFont="1" applyAlignment="1">
      <alignment horizontal="left"/>
    </xf>
    <xf numFmtId="165" fontId="228" fillId="0" borderId="0" xfId="1" applyNumberFormat="1" applyFont="1"/>
    <xf numFmtId="164" fontId="44" fillId="0" borderId="45" xfId="1933" applyNumberFormat="1" applyFont="1" applyFill="1" applyBorder="1" applyAlignment="1"/>
    <xf numFmtId="165" fontId="44" fillId="0" borderId="0" xfId="1" quotePrefix="1" applyNumberFormat="1"/>
    <xf numFmtId="164" fontId="44" fillId="0" borderId="0" xfId="1933" applyNumberFormat="1" applyFont="1" applyFill="1" applyAlignment="1"/>
    <xf numFmtId="0" fontId="51" fillId="0" borderId="10" xfId="1" applyFont="1" applyBorder="1" applyAlignment="1">
      <alignment horizontal="center"/>
    </xf>
    <xf numFmtId="0" fontId="51" fillId="0" borderId="10" xfId="1" quotePrefix="1" applyFont="1" applyBorder="1" applyAlignment="1">
      <alignment horizontal="center"/>
    </xf>
    <xf numFmtId="165" fontId="51" fillId="0" borderId="10" xfId="1" applyNumberFormat="1" applyFont="1" applyBorder="1" applyAlignment="1">
      <alignment horizontal="center"/>
    </xf>
    <xf numFmtId="164" fontId="51" fillId="0" borderId="0" xfId="1933" applyNumberFormat="1" applyFont="1" applyFill="1" applyAlignment="1"/>
    <xf numFmtId="172" fontId="44" fillId="0" borderId="0" xfId="1933" applyNumberFormat="1" applyFont="1" applyFill="1" applyAlignment="1"/>
    <xf numFmtId="189" fontId="44" fillId="0" borderId="0" xfId="5450" applyNumberFormat="1"/>
    <xf numFmtId="0" fontId="44" fillId="0" borderId="0" xfId="5450" applyNumberFormat="1"/>
    <xf numFmtId="0" fontId="51" fillId="0" borderId="0" xfId="5450" applyNumberFormat="1" applyFont="1"/>
    <xf numFmtId="0" fontId="51" fillId="0" borderId="0" xfId="5450" applyNumberFormat="1" applyFont="1" applyAlignment="1">
      <alignment horizontal="right" vertical="top"/>
    </xf>
    <xf numFmtId="0" fontId="51" fillId="0" borderId="0" xfId="5450" applyNumberFormat="1" applyFont="1" applyAlignment="1">
      <alignment horizontal="right"/>
    </xf>
    <xf numFmtId="0" fontId="51" fillId="0" borderId="0" xfId="5450" applyNumberFormat="1" applyFont="1" applyAlignment="1">
      <alignment horizontal="left" vertical="top"/>
    </xf>
    <xf numFmtId="0" fontId="51" fillId="0" borderId="0" xfId="5450" applyNumberFormat="1" applyFont="1" applyAlignment="1">
      <alignment horizontal="left"/>
    </xf>
    <xf numFmtId="0" fontId="44" fillId="0" borderId="0" xfId="5450" quotePrefix="1" applyNumberFormat="1"/>
    <xf numFmtId="0" fontId="51" fillId="0" borderId="0" xfId="5450" applyNumberFormat="1" applyFont="1" applyAlignment="1">
      <alignment horizontal="center" vertical="top"/>
    </xf>
    <xf numFmtId="0" fontId="51" fillId="0" borderId="0" xfId="5450" applyNumberFormat="1" applyFont="1" applyAlignment="1">
      <alignment horizontal="center"/>
    </xf>
    <xf numFmtId="0" fontId="51" fillId="0" borderId="0" xfId="5450" quotePrefix="1" applyNumberFormat="1" applyFont="1" applyAlignment="1">
      <alignment horizontal="center"/>
    </xf>
    <xf numFmtId="0" fontId="51" fillId="0" borderId="0" xfId="5450" applyNumberFormat="1" applyFont="1" applyAlignment="1">
      <alignment horizontal="centerContinuous"/>
    </xf>
    <xf numFmtId="0" fontId="51" fillId="0" borderId="10" xfId="5450" applyNumberFormat="1" applyFont="1" applyBorder="1" applyAlignment="1">
      <alignment horizontal="centerContinuous"/>
    </xf>
    <xf numFmtId="0" fontId="51" fillId="0" borderId="10" xfId="5450" applyNumberFormat="1" applyFont="1" applyBorder="1"/>
    <xf numFmtId="0" fontId="51" fillId="0" borderId="10" xfId="5450" quotePrefix="1" applyNumberFormat="1" applyFont="1" applyBorder="1" applyAlignment="1">
      <alignment horizontal="center"/>
    </xf>
    <xf numFmtId="49" fontId="51" fillId="0" borderId="10" xfId="5450" applyNumberFormat="1" applyFont="1" applyBorder="1" applyAlignment="1">
      <alignment horizontal="center"/>
    </xf>
    <xf numFmtId="49" fontId="51" fillId="0" borderId="10" xfId="5450" quotePrefix="1" applyNumberFormat="1" applyFont="1" applyBorder="1" applyAlignment="1">
      <alignment horizontal="center"/>
    </xf>
    <xf numFmtId="0" fontId="51" fillId="0" borderId="61" xfId="5450" applyNumberFormat="1" applyFont="1" applyBorder="1" applyAlignment="1">
      <alignment horizontal="center"/>
    </xf>
    <xf numFmtId="0" fontId="51" fillId="0" borderId="10" xfId="5450" applyNumberFormat="1" applyFont="1" applyBorder="1" applyAlignment="1">
      <alignment horizontal="center"/>
    </xf>
    <xf numFmtId="39" fontId="44" fillId="0" borderId="0" xfId="5450" quotePrefix="1" applyNumberFormat="1"/>
    <xf numFmtId="39" fontId="65" fillId="0" borderId="0" xfId="5450" quotePrefix="1" applyNumberFormat="1" applyFont="1"/>
    <xf numFmtId="39" fontId="44" fillId="0" borderId="0" xfId="5450" applyNumberFormat="1"/>
    <xf numFmtId="0" fontId="65" fillId="0" borderId="0" xfId="5450" applyNumberFormat="1" applyFont="1"/>
    <xf numFmtId="0" fontId="44" fillId="0" borderId="0" xfId="5500" applyFont="1" applyAlignment="1">
      <alignment horizontal="center"/>
    </xf>
    <xf numFmtId="42" fontId="65" fillId="0" borderId="0" xfId="5450" applyNumberFormat="1" applyFont="1" applyAlignment="1">
      <alignment horizontal="right"/>
    </xf>
    <xf numFmtId="42" fontId="65" fillId="0" borderId="0" xfId="5450" applyNumberFormat="1" applyFont="1" applyAlignment="1">
      <alignment horizontal="right" vertical="top"/>
    </xf>
    <xf numFmtId="41" fontId="65" fillId="0" borderId="0" xfId="5450" applyNumberFormat="1" applyFont="1" applyAlignment="1">
      <alignment horizontal="right"/>
    </xf>
    <xf numFmtId="0" fontId="65" fillId="0" borderId="0" xfId="5450" applyNumberFormat="1" applyFont="1" applyAlignment="1">
      <alignment horizontal="right"/>
    </xf>
    <xf numFmtId="41" fontId="44" fillId="0" borderId="0" xfId="5450" applyNumberFormat="1" applyAlignment="1">
      <alignment horizontal="right"/>
    </xf>
    <xf numFmtId="0" fontId="44" fillId="0" borderId="0" xfId="5450" quotePrefix="1" applyNumberFormat="1" applyAlignment="1">
      <alignment horizontal="left" vertical="top"/>
    </xf>
    <xf numFmtId="0" fontId="44" fillId="0" borderId="0" xfId="5450" applyNumberFormat="1" applyAlignment="1">
      <alignment horizontal="left" vertical="top"/>
    </xf>
    <xf numFmtId="37" fontId="44" fillId="0" borderId="0" xfId="5500" applyNumberFormat="1" applyFont="1"/>
    <xf numFmtId="0" fontId="51" fillId="0" borderId="0" xfId="5450" quotePrefix="1" applyNumberFormat="1" applyFont="1" applyAlignment="1">
      <alignment horizontal="left" vertical="top"/>
    </xf>
    <xf numFmtId="42" fontId="51" fillId="0" borderId="54" xfId="5450" applyNumberFormat="1" applyFont="1" applyBorder="1" applyAlignment="1">
      <alignment horizontal="right" vertical="top"/>
    </xf>
    <xf numFmtId="42" fontId="51" fillId="0" borderId="0" xfId="5450" applyNumberFormat="1" applyFont="1" applyAlignment="1">
      <alignment horizontal="right" vertical="top"/>
    </xf>
    <xf numFmtId="37" fontId="44" fillId="0" borderId="0" xfId="5450" applyNumberFormat="1"/>
    <xf numFmtId="42" fontId="44" fillId="0" borderId="0" xfId="5450" applyNumberFormat="1"/>
    <xf numFmtId="44" fontId="44" fillId="0" borderId="0" xfId="5450" applyNumberFormat="1"/>
    <xf numFmtId="44" fontId="44" fillId="0" borderId="0" xfId="5500" applyNumberFormat="1" applyFont="1"/>
    <xf numFmtId="165" fontId="210" fillId="0" borderId="0" xfId="1" applyNumberFormat="1" applyFont="1"/>
    <xf numFmtId="172" fontId="44" fillId="0" borderId="65" xfId="1933" applyNumberFormat="1" applyFont="1" applyFill="1" applyBorder="1" applyAlignment="1"/>
    <xf numFmtId="192" fontId="160" fillId="0" borderId="0" xfId="17915" applyNumberFormat="1" applyFont="1" applyFill="1"/>
    <xf numFmtId="192" fontId="210" fillId="0" borderId="0" xfId="17915" applyNumberFormat="1" applyFont="1" applyFill="1"/>
    <xf numFmtId="192" fontId="160" fillId="0" borderId="0" xfId="17915" applyNumberFormat="1" applyFont="1" applyBorder="1"/>
    <xf numFmtId="185" fontId="51" fillId="0" borderId="10" xfId="737" quotePrefix="1" applyNumberFormat="1" applyFont="1" applyBorder="1" applyAlignment="1">
      <alignment horizontal="center"/>
    </xf>
    <xf numFmtId="43" fontId="161" fillId="0" borderId="0" xfId="737" quotePrefix="1" applyNumberFormat="1" applyFont="1" applyAlignment="1">
      <alignment horizontal="left"/>
    </xf>
    <xf numFmtId="177" fontId="72" fillId="0" borderId="0" xfId="737" applyNumberFormat="1" applyFont="1" applyAlignment="1">
      <alignment vertical="center"/>
    </xf>
    <xf numFmtId="177" fontId="49" fillId="0" borderId="0" xfId="737" applyNumberFormat="1" applyFont="1" applyAlignment="1">
      <alignment vertical="center"/>
    </xf>
    <xf numFmtId="177" fontId="72" fillId="0" borderId="0" xfId="737" quotePrefix="1" applyNumberFormat="1" applyFont="1" applyAlignment="1">
      <alignment horizontal="right" vertical="center"/>
    </xf>
    <xf numFmtId="43" fontId="209" fillId="0" borderId="0" xfId="737" applyNumberFormat="1" applyFont="1" applyAlignment="1">
      <alignment vertical="center"/>
    </xf>
    <xf numFmtId="0" fontId="98" fillId="0" borderId="0" xfId="737" applyFont="1" applyAlignment="1">
      <alignment vertical="center"/>
    </xf>
    <xf numFmtId="43" fontId="161" fillId="0" borderId="0" xfId="737" quotePrefix="1" applyNumberFormat="1" applyFont="1" applyAlignment="1">
      <alignment horizontal="right" vertical="center"/>
    </xf>
    <xf numFmtId="0" fontId="86" fillId="0" borderId="0" xfId="737" applyFont="1" applyAlignment="1">
      <alignment horizontal="right" vertical="center"/>
    </xf>
    <xf numFmtId="43" fontId="222" fillId="0" borderId="0" xfId="737" applyNumberFormat="1" applyFont="1" applyAlignment="1">
      <alignment horizontal="right" vertical="center"/>
    </xf>
    <xf numFmtId="177" fontId="72" fillId="0" borderId="0" xfId="737" quotePrefix="1" applyNumberFormat="1" applyFont="1" applyAlignment="1">
      <alignment horizontal="left" vertical="center"/>
    </xf>
    <xf numFmtId="177" fontId="202" fillId="0" borderId="0" xfId="737" applyNumberFormat="1" applyFont="1" applyAlignment="1">
      <alignment vertical="center"/>
    </xf>
    <xf numFmtId="165" fontId="100" fillId="0" borderId="0" xfId="737" applyNumberFormat="1" applyFont="1" applyAlignment="1">
      <alignment vertical="center"/>
    </xf>
    <xf numFmtId="177" fontId="44" fillId="0" borderId="0" xfId="737" applyNumberFormat="1" applyFont="1" applyAlignment="1">
      <alignment horizontal="fill" vertical="center"/>
    </xf>
    <xf numFmtId="177" fontId="44" fillId="0" borderId="0" xfId="737" applyNumberFormat="1" applyFont="1" applyAlignment="1">
      <alignment vertical="center"/>
    </xf>
    <xf numFmtId="43" fontId="160" fillId="0" borderId="0" xfId="737" applyNumberFormat="1" applyFont="1" applyAlignment="1">
      <alignment vertical="center"/>
    </xf>
    <xf numFmtId="179" fontId="67" fillId="0" borderId="0" xfId="737" applyNumberFormat="1" applyFont="1" applyAlignment="1">
      <alignment horizontal="right"/>
    </xf>
    <xf numFmtId="0" fontId="50" fillId="0" borderId="10" xfId="9958" applyFont="1" applyBorder="1" applyAlignment="1">
      <alignment horizontal="center"/>
    </xf>
    <xf numFmtId="49" fontId="0" fillId="0" borderId="0" xfId="14" applyNumberFormat="1" applyFont="1"/>
    <xf numFmtId="189" fontId="209" fillId="0" borderId="0" xfId="17915" applyNumberFormat="1" applyFont="1"/>
    <xf numFmtId="189" fontId="209" fillId="0" borderId="0" xfId="17915" applyNumberFormat="1" applyFont="1" applyFill="1" applyAlignment="1"/>
    <xf numFmtId="164" fontId="98" fillId="0" borderId="0" xfId="1025" applyNumberFormat="1" applyFont="1"/>
    <xf numFmtId="165" fontId="227" fillId="0" borderId="0" xfId="837" applyNumberFormat="1" applyFont="1"/>
    <xf numFmtId="164" fontId="111" fillId="0" borderId="45" xfId="0" applyFont="1" applyBorder="1" applyAlignment="1">
      <alignment horizontal="center"/>
    </xf>
    <xf numFmtId="44" fontId="44" fillId="0" borderId="0" xfId="737" applyNumberFormat="1" applyFont="1" applyAlignment="1">
      <alignment horizontal="right"/>
    </xf>
    <xf numFmtId="43" fontId="51" fillId="0" borderId="54" xfId="1025" applyNumberFormat="1" applyFont="1" applyBorder="1" applyAlignment="1">
      <alignment horizontal="right"/>
    </xf>
    <xf numFmtId="43" fontId="51" fillId="0" borderId="0" xfId="1025" applyNumberFormat="1" applyFont="1" applyAlignment="1">
      <alignment horizontal="right"/>
    </xf>
    <xf numFmtId="164" fontId="51" fillId="0" borderId="0" xfId="0" applyFont="1" applyAlignment="1">
      <alignment horizontal="right"/>
    </xf>
    <xf numFmtId="43" fontId="51" fillId="0" borderId="54" xfId="737" applyNumberFormat="1" applyFont="1" applyBorder="1" applyAlignment="1">
      <alignment horizontal="right"/>
    </xf>
    <xf numFmtId="43" fontId="51" fillId="0" borderId="0" xfId="0" applyNumberFormat="1" applyFont="1" applyAlignment="1">
      <alignment horizontal="right"/>
    </xf>
    <xf numFmtId="43" fontId="44" fillId="0" borderId="0" xfId="1025" applyNumberFormat="1" applyAlignment="1">
      <alignment horizontal="right"/>
    </xf>
    <xf numFmtId="43" fontId="0" fillId="0" borderId="0" xfId="0" applyNumberFormat="1" applyAlignment="1">
      <alignment horizontal="right"/>
    </xf>
    <xf numFmtId="43" fontId="51" fillId="0" borderId="0" xfId="737" applyNumberFormat="1" applyFont="1" applyAlignment="1">
      <alignment horizontal="right"/>
    </xf>
    <xf numFmtId="43" fontId="44" fillId="0" borderId="0" xfId="737" applyNumberFormat="1" applyFont="1"/>
    <xf numFmtId="43" fontId="0" fillId="0" borderId="0" xfId="0" applyNumberFormat="1"/>
    <xf numFmtId="43" fontId="51" fillId="0" borderId="54" xfId="0" applyNumberFormat="1" applyFont="1" applyBorder="1" applyAlignment="1">
      <alignment horizontal="right"/>
    </xf>
    <xf numFmtId="43" fontId="44" fillId="0" borderId="0" xfId="0" applyNumberFormat="1" applyFont="1" applyAlignment="1">
      <alignment horizontal="right"/>
    </xf>
    <xf numFmtId="44" fontId="51" fillId="0" borderId="54" xfId="737" applyNumberFormat="1" applyFont="1" applyBorder="1" applyAlignment="1">
      <alignment horizontal="right"/>
    </xf>
    <xf numFmtId="40" fontId="160" fillId="0" borderId="0" xfId="837" quotePrefix="1" applyNumberFormat="1" applyFont="1" applyAlignment="1">
      <alignment horizontal="left"/>
    </xf>
    <xf numFmtId="41" fontId="205" fillId="0" borderId="0" xfId="837" applyNumberFormat="1" applyFont="1"/>
    <xf numFmtId="41" fontId="65" fillId="0" borderId="0" xfId="5450" applyNumberFormat="1" applyFont="1" applyAlignment="1">
      <alignment horizontal="center"/>
    </xf>
    <xf numFmtId="39" fontId="49" fillId="0" borderId="0" xfId="0" applyNumberFormat="1" applyFont="1"/>
    <xf numFmtId="39" fontId="49" fillId="0" borderId="0" xfId="0" applyNumberFormat="1" applyFont="1" applyAlignment="1">
      <alignment horizontal="right"/>
    </xf>
    <xf numFmtId="43" fontId="49" fillId="0" borderId="0" xfId="0" applyNumberFormat="1" applyFont="1" applyAlignment="1">
      <alignment horizontal="right"/>
    </xf>
    <xf numFmtId="43" fontId="49" fillId="0" borderId="0" xfId="0" quotePrefix="1" applyNumberFormat="1" applyFont="1" applyAlignment="1">
      <alignment horizontal="right"/>
    </xf>
    <xf numFmtId="44" fontId="50" fillId="0" borderId="0" xfId="0" applyNumberFormat="1" applyFont="1" applyAlignment="1">
      <alignment horizontal="right"/>
    </xf>
    <xf numFmtId="0" fontId="50" fillId="0" borderId="28" xfId="0" applyNumberFormat="1" applyFont="1" applyBorder="1"/>
    <xf numFmtId="7" fontId="50" fillId="0" borderId="0" xfId="0" applyNumberFormat="1" applyFont="1"/>
    <xf numFmtId="39" fontId="50" fillId="0" borderId="0" xfId="0" applyNumberFormat="1" applyFont="1" applyAlignment="1">
      <alignment horizontal="center" vertical="top"/>
    </xf>
    <xf numFmtId="7" fontId="50" fillId="0" borderId="0" xfId="0" applyNumberFormat="1" applyFont="1" applyAlignment="1">
      <alignment horizontal="right" vertical="top"/>
    </xf>
    <xf numFmtId="42" fontId="50" fillId="0" borderId="0" xfId="0" applyNumberFormat="1" applyFont="1" applyAlignment="1">
      <alignment horizontal="right" vertical="top"/>
    </xf>
    <xf numFmtId="39" fontId="49" fillId="0" borderId="0" xfId="0" applyNumberFormat="1" applyFont="1" applyAlignment="1">
      <alignment horizontal="right" vertical="top"/>
    </xf>
    <xf numFmtId="186" fontId="49" fillId="0" borderId="0" xfId="0" applyNumberFormat="1" applyFont="1" applyAlignment="1">
      <alignment horizontal="center" vertical="top"/>
    </xf>
    <xf numFmtId="42" fontId="49" fillId="0" borderId="0" xfId="0" applyNumberFormat="1" applyFont="1" applyAlignment="1">
      <alignment horizontal="right"/>
    </xf>
    <xf numFmtId="39" fontId="49" fillId="0" borderId="0" xfId="0" applyNumberFormat="1" applyFont="1" applyAlignment="1">
      <alignment horizontal="center"/>
    </xf>
    <xf numFmtId="43" fontId="49" fillId="0" borderId="0" xfId="0" applyNumberFormat="1" applyFont="1" applyAlignment="1">
      <alignment horizontal="center"/>
    </xf>
    <xf numFmtId="39" fontId="49" fillId="0" borderId="0" xfId="0" quotePrefix="1" applyNumberFormat="1" applyFont="1" applyAlignment="1">
      <alignment horizontal="center"/>
    </xf>
    <xf numFmtId="43" fontId="49" fillId="0" borderId="0" xfId="0" applyNumberFormat="1" applyFont="1" applyAlignment="1">
      <alignment horizontal="center" vertical="top"/>
    </xf>
    <xf numFmtId="39" fontId="49" fillId="0" borderId="0" xfId="0" quotePrefix="1" applyNumberFormat="1" applyFont="1"/>
    <xf numFmtId="39" fontId="50" fillId="0" borderId="0" xfId="0" applyNumberFormat="1" applyFont="1" applyAlignment="1">
      <alignment horizontal="right"/>
    </xf>
    <xf numFmtId="43" fontId="50" fillId="0" borderId="0" xfId="0" applyNumberFormat="1" applyFont="1" applyAlignment="1">
      <alignment horizontal="center" vertical="top"/>
    </xf>
    <xf numFmtId="179" fontId="67" fillId="0" borderId="0" xfId="737" applyNumberFormat="1" applyFont="1" applyAlignment="1">
      <alignment horizontal="left"/>
    </xf>
    <xf numFmtId="177" fontId="67" fillId="0" borderId="10" xfId="737" applyNumberFormat="1" applyFont="1" applyBorder="1" applyAlignment="1">
      <alignment horizontal="left"/>
    </xf>
    <xf numFmtId="177" fontId="67" fillId="0" borderId="10" xfId="737" applyNumberFormat="1" applyFont="1" applyBorder="1" applyAlignment="1">
      <alignment horizontal="center"/>
    </xf>
    <xf numFmtId="177" fontId="72" fillId="0" borderId="10" xfId="833" applyNumberFormat="1" applyFont="1" applyBorder="1" applyAlignment="1">
      <alignment horizontal="right"/>
    </xf>
    <xf numFmtId="177" fontId="72" fillId="0" borderId="10" xfId="833" applyNumberFormat="1" applyFont="1" applyBorder="1"/>
    <xf numFmtId="177" fontId="72" fillId="0" borderId="53" xfId="833" applyNumberFormat="1" applyFont="1" applyBorder="1" applyAlignment="1">
      <alignment horizontal="right"/>
    </xf>
    <xf numFmtId="179" fontId="72" fillId="0" borderId="15" xfId="833" applyNumberFormat="1" applyFont="1" applyBorder="1"/>
    <xf numFmtId="179" fontId="72" fillId="0" borderId="0" xfId="833" applyNumberFormat="1" applyFont="1"/>
    <xf numFmtId="180" fontId="67" fillId="0" borderId="20" xfId="833" applyNumberFormat="1" applyFont="1" applyBorder="1"/>
    <xf numFmtId="181" fontId="227" fillId="0" borderId="0" xfId="833" applyNumberFormat="1" applyFont="1"/>
    <xf numFmtId="177" fontId="67" fillId="0" borderId="0" xfId="833" applyNumberFormat="1" applyFont="1" applyAlignment="1">
      <alignment horizontal="fill"/>
    </xf>
    <xf numFmtId="179" fontId="44" fillId="0" borderId="0" xfId="737" applyNumberFormat="1" applyFont="1" applyAlignment="1">
      <alignment horizontal="left"/>
    </xf>
    <xf numFmtId="179" fontId="44" fillId="0" borderId="0" xfId="737" applyNumberFormat="1" applyFont="1" applyAlignment="1">
      <alignment horizontal="center"/>
    </xf>
    <xf numFmtId="177" fontId="44" fillId="0" borderId="0" xfId="737" applyNumberFormat="1" applyFont="1" applyAlignment="1">
      <alignment horizontal="left"/>
    </xf>
    <xf numFmtId="177" fontId="44" fillId="0" borderId="0" xfId="737" applyNumberFormat="1" applyFont="1" applyAlignment="1">
      <alignment horizontal="center"/>
    </xf>
    <xf numFmtId="177" fontId="51" fillId="0" borderId="61" xfId="737" applyNumberFormat="1" applyFont="1" applyBorder="1" applyAlignment="1">
      <alignment horizontal="right"/>
    </xf>
    <xf numFmtId="177" fontId="101" fillId="0" borderId="0" xfId="737" applyNumberFormat="1" applyFont="1"/>
    <xf numFmtId="177" fontId="173" fillId="0" borderId="0" xfId="737" applyNumberFormat="1" applyFont="1"/>
    <xf numFmtId="177" fontId="44" fillId="0" borderId="0" xfId="737" quotePrefix="1" applyNumberFormat="1" applyFont="1" applyAlignment="1">
      <alignment horizontal="center"/>
    </xf>
    <xf numFmtId="177" fontId="51" fillId="0" borderId="61" xfId="737" applyNumberFormat="1" applyFont="1" applyBorder="1"/>
    <xf numFmtId="177" fontId="51" fillId="0" borderId="10" xfId="737" applyNumberFormat="1" applyFont="1" applyBorder="1"/>
    <xf numFmtId="177" fontId="55" fillId="0" borderId="0" xfId="737" applyNumberFormat="1" applyFont="1" applyAlignment="1">
      <alignment horizontal="center"/>
    </xf>
    <xf numFmtId="179" fontId="51" fillId="0" borderId="15" xfId="737" applyNumberFormat="1" applyFont="1" applyBorder="1"/>
    <xf numFmtId="180" fontId="51" fillId="0" borderId="0" xfId="737" applyNumberFormat="1" applyFont="1" applyAlignment="1">
      <alignment horizontal="right"/>
    </xf>
    <xf numFmtId="192" fontId="160" fillId="0" borderId="0" xfId="17915" applyNumberFormat="1" applyFont="1" applyFill="1" applyBorder="1"/>
    <xf numFmtId="192" fontId="161" fillId="0" borderId="0" xfId="17915" applyNumberFormat="1" applyFont="1" applyFill="1"/>
    <xf numFmtId="174" fontId="51" fillId="0" borderId="0" xfId="1" applyNumberFormat="1" applyFont="1" applyProtection="1">
      <protection locked="0"/>
    </xf>
    <xf numFmtId="174" fontId="51" fillId="0" borderId="75" xfId="1" applyNumberFormat="1" applyFont="1" applyBorder="1" applyProtection="1">
      <protection locked="0"/>
    </xf>
    <xf numFmtId="174" fontId="51" fillId="0" borderId="17" xfId="1" applyNumberFormat="1" applyFont="1" applyBorder="1" applyProtection="1">
      <protection locked="0"/>
    </xf>
    <xf numFmtId="169" fontId="51" fillId="0" borderId="14" xfId="1" applyNumberFormat="1" applyFont="1" applyBorder="1" applyAlignment="1" applyProtection="1">
      <alignment horizontal="right"/>
      <protection locked="0"/>
    </xf>
    <xf numFmtId="0" fontId="44" fillId="0" borderId="75" xfId="1" applyBorder="1" applyProtection="1">
      <protection locked="0"/>
    </xf>
    <xf numFmtId="0" fontId="44" fillId="0" borderId="17" xfId="1" applyBorder="1" applyProtection="1">
      <protection locked="0"/>
    </xf>
    <xf numFmtId="0" fontId="44" fillId="0" borderId="14" xfId="1" applyBorder="1" applyProtection="1">
      <protection locked="0"/>
    </xf>
    <xf numFmtId="170" fontId="44" fillId="0" borderId="10" xfId="1" applyNumberFormat="1" applyBorder="1" applyAlignment="1">
      <alignment horizontal="right"/>
    </xf>
    <xf numFmtId="170" fontId="44" fillId="0" borderId="10" xfId="1" quotePrefix="1" applyNumberFormat="1" applyBorder="1" applyAlignment="1">
      <alignment horizontal="right"/>
    </xf>
    <xf numFmtId="170" fontId="44" fillId="0" borderId="75" xfId="1" applyNumberFormat="1" applyBorder="1" applyProtection="1">
      <protection locked="0"/>
    </xf>
    <xf numFmtId="170" fontId="44" fillId="0" borderId="17" xfId="1" applyNumberFormat="1" applyBorder="1" applyProtection="1">
      <protection locked="0"/>
    </xf>
    <xf numFmtId="166" fontId="44" fillId="0" borderId="14" xfId="1" applyNumberFormat="1" applyBorder="1" applyProtection="1">
      <protection locked="0"/>
    </xf>
    <xf numFmtId="170" fontId="51" fillId="0" borderId="23" xfId="1" quotePrefix="1" applyNumberFormat="1" applyFont="1" applyBorder="1" applyAlignment="1">
      <alignment horizontal="right"/>
    </xf>
    <xf numFmtId="170" fontId="51" fillId="0" borderId="0" xfId="1" applyNumberFormat="1" applyFont="1" applyProtection="1">
      <protection locked="0"/>
    </xf>
    <xf numFmtId="170" fontId="51" fillId="0" borderId="75" xfId="1" applyNumberFormat="1" applyFont="1" applyBorder="1" applyProtection="1">
      <protection locked="0"/>
    </xf>
    <xf numFmtId="170" fontId="51" fillId="0" borderId="17" xfId="1" applyNumberFormat="1" applyFont="1" applyBorder="1" applyProtection="1">
      <protection locked="0"/>
    </xf>
    <xf numFmtId="172" fontId="51" fillId="0" borderId="45" xfId="1933" applyNumberFormat="1" applyFont="1" applyFill="1" applyBorder="1" applyAlignment="1"/>
    <xf numFmtId="170" fontId="44" fillId="0" borderId="64" xfId="1" applyNumberFormat="1" applyBorder="1" applyProtection="1">
      <protection locked="0"/>
    </xf>
    <xf numFmtId="170" fontId="44" fillId="0" borderId="75" xfId="1" applyNumberFormat="1" applyBorder="1" applyAlignment="1" applyProtection="1">
      <alignment horizontal="center"/>
      <protection locked="0"/>
    </xf>
    <xf numFmtId="170" fontId="44" fillId="0" borderId="0" xfId="1" applyNumberFormat="1" applyAlignment="1" applyProtection="1">
      <alignment horizontal="center"/>
      <protection locked="0"/>
    </xf>
    <xf numFmtId="166" fontId="44" fillId="0" borderId="14" xfId="1" applyNumberFormat="1" applyBorder="1" applyAlignment="1" applyProtection="1">
      <alignment horizontal="center"/>
      <protection locked="0"/>
    </xf>
    <xf numFmtId="170" fontId="51" fillId="0" borderId="10" xfId="1" quotePrefix="1" applyNumberFormat="1" applyFont="1" applyBorder="1" applyAlignment="1">
      <alignment horizontal="right"/>
    </xf>
    <xf numFmtId="170" fontId="51" fillId="0" borderId="0" xfId="1" applyNumberFormat="1" applyFont="1" applyAlignment="1" applyProtection="1">
      <alignment horizontal="center"/>
      <protection locked="0"/>
    </xf>
    <xf numFmtId="170" fontId="51" fillId="0" borderId="10" xfId="1" applyNumberFormat="1" applyFont="1" applyBorder="1"/>
    <xf numFmtId="172" fontId="51" fillId="0" borderId="10" xfId="1" applyNumberFormat="1" applyFont="1" applyBorder="1"/>
    <xf numFmtId="166" fontId="44" fillId="0" borderId="14" xfId="1" quotePrefix="1" applyNumberFormat="1" applyBorder="1" applyAlignment="1" applyProtection="1">
      <alignment horizontal="right"/>
      <protection locked="0"/>
    </xf>
    <xf numFmtId="170" fontId="44" fillId="0" borderId="10" xfId="1" applyNumberFormat="1" applyBorder="1"/>
    <xf numFmtId="170" fontId="44" fillId="0" borderId="64" xfId="1" applyNumberFormat="1" applyBorder="1" applyAlignment="1">
      <alignment horizontal="center"/>
    </xf>
    <xf numFmtId="170" fontId="51" fillId="0" borderId="0" xfId="1" applyNumberFormat="1" applyFont="1" applyAlignment="1" applyProtection="1">
      <alignment horizontal="right"/>
      <protection locked="0"/>
    </xf>
    <xf numFmtId="172" fontId="51" fillId="0" borderId="10" xfId="0" applyNumberFormat="1" applyFont="1" applyBorder="1"/>
    <xf numFmtId="174" fontId="51" fillId="0" borderId="51" xfId="3" applyNumberFormat="1" applyFont="1" applyBorder="1"/>
    <xf numFmtId="172" fontId="51" fillId="0" borderId="51" xfId="1933" applyNumberFormat="1" applyFont="1" applyFill="1" applyBorder="1" applyAlignment="1"/>
    <xf numFmtId="166" fontId="44" fillId="0" borderId="20" xfId="1" applyNumberFormat="1" applyBorder="1"/>
    <xf numFmtId="170" fontId="44" fillId="0" borderId="20" xfId="1" applyNumberFormat="1" applyBorder="1"/>
    <xf numFmtId="170" fontId="51" fillId="0" borderId="10" xfId="1" quotePrefix="1" applyNumberFormat="1" applyFont="1" applyBorder="1"/>
    <xf numFmtId="0" fontId="44" fillId="0" borderId="76" xfId="1" applyBorder="1"/>
    <xf numFmtId="192" fontId="44" fillId="0" borderId="45" xfId="1" applyNumberFormat="1" applyBorder="1"/>
    <xf numFmtId="0" fontId="44" fillId="0" borderId="20" xfId="1" applyBorder="1"/>
    <xf numFmtId="172" fontId="51" fillId="0" borderId="0" xfId="1933" applyNumberFormat="1" applyFont="1" applyFill="1" applyAlignment="1"/>
    <xf numFmtId="10" fontId="44" fillId="0" borderId="0" xfId="1" applyNumberFormat="1"/>
    <xf numFmtId="170" fontId="64" fillId="0" borderId="76" xfId="1" applyNumberFormat="1" applyFont="1" applyBorder="1"/>
    <xf numFmtId="164" fontId="51" fillId="0" borderId="15" xfId="1933" applyNumberFormat="1" applyFont="1" applyFill="1" applyBorder="1" applyAlignment="1"/>
    <xf numFmtId="167" fontId="51" fillId="0" borderId="0" xfId="1" applyNumberFormat="1" applyFont="1"/>
    <xf numFmtId="170" fontId="44" fillId="0" borderId="14" xfId="1" applyNumberFormat="1" applyBorder="1" applyAlignment="1">
      <alignment horizontal="right"/>
    </xf>
    <xf numFmtId="172" fontId="44" fillId="0" borderId="45" xfId="0" applyNumberFormat="1" applyFont="1" applyBorder="1" applyProtection="1">
      <protection locked="0"/>
    </xf>
    <xf numFmtId="164" fontId="0" fillId="0" borderId="45" xfId="1" applyNumberFormat="1" applyFont="1" applyBorder="1"/>
    <xf numFmtId="170" fontId="44"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60" fillId="0" borderId="76" xfId="1" applyNumberFormat="1" applyFont="1" applyBorder="1"/>
    <xf numFmtId="170" fontId="161" fillId="0" borderId="14" xfId="1" applyNumberFormat="1" applyFont="1" applyBorder="1"/>
    <xf numFmtId="174" fontId="160" fillId="0" borderId="0" xfId="1" applyNumberFormat="1" applyFont="1"/>
    <xf numFmtId="174" fontId="160" fillId="0" borderId="16" xfId="1" applyNumberFormat="1" applyFont="1" applyBorder="1"/>
    <xf numFmtId="174" fontId="161" fillId="0" borderId="14" xfId="1" applyNumberFormat="1" applyFont="1" applyBorder="1"/>
    <xf numFmtId="164" fontId="0" fillId="0" borderId="22" xfId="1" applyNumberFormat="1" applyFont="1" applyBorder="1"/>
    <xf numFmtId="164" fontId="44" fillId="0" borderId="26" xfId="0" applyFont="1" applyBorder="1"/>
    <xf numFmtId="170" fontId="51" fillId="0" borderId="76" xfId="1" applyNumberFormat="1" applyFont="1" applyBorder="1" applyAlignment="1">
      <alignment horizontal="center"/>
    </xf>
    <xf numFmtId="0" fontId="0" fillId="0" borderId="19" xfId="1" applyFont="1" applyBorder="1"/>
    <xf numFmtId="0" fontId="0" fillId="0" borderId="14" xfId="1" applyFont="1" applyBorder="1"/>
    <xf numFmtId="174" fontId="44" fillId="0" borderId="16" xfId="1" applyNumberFormat="1" applyBorder="1" applyAlignment="1">
      <alignment horizontal="right"/>
    </xf>
    <xf numFmtId="166" fontId="44" fillId="0" borderId="0" xfId="1" applyNumberFormat="1" applyAlignment="1">
      <alignment horizontal="center"/>
    </xf>
    <xf numFmtId="170" fontId="0" fillId="0" borderId="16" xfId="1" applyNumberFormat="1" applyFont="1" applyBorder="1"/>
    <xf numFmtId="170" fontId="44" fillId="0" borderId="11" xfId="1" applyNumberFormat="1" applyBorder="1"/>
    <xf numFmtId="174" fontId="44" fillId="0" borderId="27" xfId="1" applyNumberFormat="1" applyBorder="1" applyAlignment="1">
      <alignment horizontal="center"/>
    </xf>
    <xf numFmtId="164" fontId="51" fillId="0" borderId="0" xfId="1" applyNumberFormat="1" applyFont="1" applyProtection="1">
      <protection locked="0"/>
    </xf>
    <xf numFmtId="164" fontId="51" fillId="0" borderId="69" xfId="1" applyNumberFormat="1" applyFont="1" applyBorder="1" applyProtection="1">
      <protection locked="0"/>
    </xf>
    <xf numFmtId="164" fontId="44" fillId="0" borderId="0" xfId="1" applyNumberFormat="1" applyProtection="1">
      <protection locked="0"/>
    </xf>
    <xf numFmtId="172" fontId="205" fillId="0" borderId="0" xfId="1" applyNumberFormat="1" applyFont="1"/>
    <xf numFmtId="170" fontId="205" fillId="0" borderId="75" xfId="0" applyNumberFormat="1" applyFont="1" applyBorder="1" applyAlignment="1">
      <alignment horizontal="right"/>
    </xf>
    <xf numFmtId="170" fontId="44" fillId="0" borderId="75" xfId="0" applyNumberFormat="1" applyFont="1" applyBorder="1" applyAlignment="1">
      <alignment horizontal="right"/>
    </xf>
    <xf numFmtId="170" fontId="44" fillId="0" borderId="76" xfId="0" quotePrefix="1" applyNumberFormat="1" applyFont="1" applyBorder="1" applyAlignment="1">
      <alignment horizontal="right"/>
    </xf>
    <xf numFmtId="192" fontId="227" fillId="0" borderId="0" xfId="1" applyNumberFormat="1" applyFont="1"/>
    <xf numFmtId="170" fontId="44" fillId="0" borderId="0" xfId="1" applyNumberFormat="1" applyAlignment="1">
      <alignment horizontal="center" vertical="top"/>
    </xf>
    <xf numFmtId="164" fontId="0" fillId="0" borderId="0" xfId="0" applyAlignment="1">
      <alignment horizontal="center"/>
    </xf>
    <xf numFmtId="192" fontId="44" fillId="0" borderId="0" xfId="17915" applyNumberFormat="1" applyFont="1" applyFill="1"/>
    <xf numFmtId="39" fontId="44" fillId="0" borderId="0" xfId="1" applyNumberFormat="1"/>
    <xf numFmtId="170" fontId="51" fillId="0" borderId="49" xfId="1" quotePrefix="1" applyNumberFormat="1" applyFont="1" applyBorder="1" applyAlignment="1">
      <alignment horizontal="center"/>
    </xf>
    <xf numFmtId="170" fontId="65" fillId="0" borderId="0" xfId="1" quotePrefix="1" applyNumberFormat="1" applyFont="1"/>
    <xf numFmtId="17" fontId="51" fillId="0" borderId="0" xfId="1" quotePrefix="1" applyNumberFormat="1" applyFont="1" applyAlignment="1">
      <alignment horizontal="center"/>
    </xf>
    <xf numFmtId="170" fontId="51" fillId="0" borderId="61" xfId="1" applyNumberFormat="1" applyFont="1" applyBorder="1"/>
    <xf numFmtId="170" fontId="51" fillId="0" borderId="45" xfId="1" quotePrefix="1" applyNumberFormat="1" applyFont="1" applyBorder="1" applyAlignment="1">
      <alignment horizontal="center"/>
    </xf>
    <xf numFmtId="15" fontId="51" fillId="0" borderId="0" xfId="1" quotePrefix="1" applyNumberFormat="1" applyFont="1" applyAlignment="1">
      <alignment horizontal="center"/>
    </xf>
    <xf numFmtId="170" fontId="51" fillId="0" borderId="61" xfId="1" quotePrefix="1" applyNumberFormat="1" applyFont="1" applyBorder="1" applyAlignment="1">
      <alignment horizontal="right"/>
    </xf>
    <xf numFmtId="174" fontId="51" fillId="0" borderId="71" xfId="1" applyNumberFormat="1" applyFont="1" applyBorder="1"/>
    <xf numFmtId="174" fontId="69" fillId="0" borderId="0" xfId="1" applyNumberFormat="1" applyFont="1"/>
    <xf numFmtId="0" fontId="70" fillId="0" borderId="45" xfId="1" applyFont="1" applyBorder="1" applyAlignment="1">
      <alignment horizontal="centerContinuous"/>
    </xf>
    <xf numFmtId="192" fontId="44" fillId="0" borderId="45" xfId="0" applyNumberFormat="1" applyFont="1" applyBorder="1"/>
    <xf numFmtId="172" fontId="51" fillId="0" borderId="61" xfId="1" applyNumberFormat="1" applyFont="1" applyBorder="1"/>
    <xf numFmtId="172" fontId="51" fillId="0" borderId="45" xfId="1933" applyNumberFormat="1" applyFont="1" applyFill="1" applyBorder="1" applyAlignment="1" applyProtection="1"/>
    <xf numFmtId="172" fontId="51" fillId="0" borderId="0" xfId="1" applyNumberFormat="1" applyFont="1"/>
    <xf numFmtId="172" fontId="51" fillId="0" borderId="0" xfId="1933" applyNumberFormat="1" applyFont="1" applyFill="1" applyBorder="1" applyAlignment="1" applyProtection="1"/>
    <xf numFmtId="49" fontId="206" fillId="0" borderId="45" xfId="0" quotePrefix="1" applyNumberFormat="1" applyFont="1" applyBorder="1" applyAlignment="1">
      <alignment horizontal="center"/>
    </xf>
    <xf numFmtId="41" fontId="51" fillId="0" borderId="45" xfId="837" applyNumberFormat="1" applyFont="1" applyBorder="1"/>
    <xf numFmtId="42" fontId="51" fillId="0" borderId="51" xfId="837" applyNumberFormat="1" applyFont="1" applyBorder="1"/>
    <xf numFmtId="199" fontId="206" fillId="0" borderId="45" xfId="0" quotePrefix="1" applyNumberFormat="1" applyFont="1" applyBorder="1" applyAlignment="1">
      <alignment horizontal="center"/>
    </xf>
    <xf numFmtId="172" fontId="44" fillId="0" borderId="45" xfId="1933" applyNumberFormat="1" applyFont="1" applyFill="1" applyBorder="1" applyAlignment="1"/>
    <xf numFmtId="14" fontId="49" fillId="0" borderId="0" xfId="737" applyNumberFormat="1" applyFont="1" applyAlignment="1">
      <alignment vertical="center"/>
    </xf>
    <xf numFmtId="192" fontId="44" fillId="0" borderId="0" xfId="1" applyNumberFormat="1" applyAlignment="1">
      <alignment horizontal="right"/>
    </xf>
    <xf numFmtId="44" fontId="177" fillId="0" borderId="0" xfId="25853" applyNumberFormat="1"/>
    <xf numFmtId="174" fontId="51" fillId="0" borderId="0" xfId="3" applyNumberFormat="1" applyFont="1" applyAlignment="1">
      <alignment horizontal="center"/>
    </xf>
    <xf numFmtId="170" fontId="51" fillId="0" borderId="0" xfId="3" applyNumberFormat="1" applyFont="1" applyAlignment="1">
      <alignment horizontal="center"/>
    </xf>
    <xf numFmtId="174" fontId="51"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51" fillId="0" borderId="0" xfId="0" applyNumberFormat="1" applyFont="1" applyAlignment="1">
      <alignment horizontal="centerContinuous"/>
    </xf>
    <xf numFmtId="165" fontId="69" fillId="0" borderId="0" xfId="0" applyNumberFormat="1" applyFont="1"/>
    <xf numFmtId="165" fontId="51" fillId="0" borderId="0" xfId="0" applyNumberFormat="1" applyFont="1" applyAlignment="1">
      <alignment horizontal="right"/>
    </xf>
    <xf numFmtId="165" fontId="72" fillId="0" borderId="0" xfId="0" quotePrefix="1" applyNumberFormat="1" applyFont="1" applyAlignment="1">
      <alignment horizontal="right"/>
    </xf>
    <xf numFmtId="165" fontId="69" fillId="0" borderId="0" xfId="0" applyNumberFormat="1" applyFont="1" applyAlignment="1">
      <alignment horizontal="centerContinuous"/>
    </xf>
    <xf numFmtId="165" fontId="51" fillId="0" borderId="45" xfId="0" applyNumberFormat="1" applyFont="1" applyBorder="1" applyAlignment="1">
      <alignment horizontal="centerContinuous"/>
    </xf>
    <xf numFmtId="165" fontId="44" fillId="0" borderId="45" xfId="0" applyNumberFormat="1" applyFont="1" applyBorder="1" applyAlignment="1">
      <alignment horizontal="centerContinuous"/>
    </xf>
    <xf numFmtId="165" fontId="51" fillId="0" borderId="45" xfId="0" quotePrefix="1" applyNumberFormat="1" applyFont="1" applyBorder="1"/>
    <xf numFmtId="165" fontId="44" fillId="0" borderId="45" xfId="0" applyNumberFormat="1" applyFont="1" applyBorder="1"/>
    <xf numFmtId="165" fontId="51" fillId="0" borderId="64" xfId="0" quotePrefix="1" applyNumberFormat="1" applyFont="1" applyBorder="1" applyAlignment="1">
      <alignment horizontal="center"/>
    </xf>
    <xf numFmtId="0" fontId="51" fillId="0" borderId="64" xfId="0" applyNumberFormat="1" applyFont="1" applyBorder="1" applyAlignment="1">
      <alignment horizontal="center"/>
    </xf>
    <xf numFmtId="165" fontId="51" fillId="0" borderId="0" xfId="0" applyNumberFormat="1" applyFont="1" applyAlignment="1">
      <alignment horizontal="center"/>
    </xf>
    <xf numFmtId="165" fontId="51" fillId="0" borderId="65" xfId="0" applyNumberFormat="1" applyFont="1" applyBorder="1" applyAlignment="1">
      <alignment horizontal="center"/>
    </xf>
    <xf numFmtId="165" fontId="69" fillId="0" borderId="0" xfId="0" quotePrefix="1" applyNumberFormat="1" applyFont="1" applyAlignment="1">
      <alignment horizontal="center"/>
    </xf>
    <xf numFmtId="0" fontId="51" fillId="0" borderId="0" xfId="0" quotePrefix="1" applyNumberFormat="1" applyFont="1" applyAlignment="1">
      <alignment horizontal="center"/>
    </xf>
    <xf numFmtId="0" fontId="51" fillId="0" borderId="0" xfId="0" applyNumberFormat="1" applyFont="1" applyAlignment="1">
      <alignment horizontal="center"/>
    </xf>
    <xf numFmtId="165" fontId="44" fillId="0" borderId="17" xfId="0" applyNumberFormat="1" applyFont="1" applyBorder="1"/>
    <xf numFmtId="165" fontId="44" fillId="0" borderId="64" xfId="0" applyNumberFormat="1" applyFont="1" applyBorder="1"/>
    <xf numFmtId="165" fontId="44" fillId="0" borderId="13" xfId="0" applyNumberFormat="1" applyFont="1" applyBorder="1"/>
    <xf numFmtId="174" fontId="44" fillId="0" borderId="0" xfId="0" quotePrefix="1" applyNumberFormat="1" applyFont="1" applyAlignment="1">
      <alignment horizontal="left"/>
    </xf>
    <xf numFmtId="174" fontId="44" fillId="0" borderId="0" xfId="0" quotePrefix="1" applyNumberFormat="1" applyFont="1"/>
    <xf numFmtId="174" fontId="44" fillId="0" borderId="13" xfId="0" applyNumberFormat="1" applyFont="1" applyBorder="1"/>
    <xf numFmtId="164" fontId="44" fillId="0" borderId="0" xfId="0" quotePrefix="1" applyFont="1"/>
    <xf numFmtId="164" fontId="69" fillId="0" borderId="0" xfId="0" applyFont="1"/>
    <xf numFmtId="192" fontId="209" fillId="0" borderId="0" xfId="17915" applyNumberFormat="1" applyFont="1" applyFill="1"/>
    <xf numFmtId="170" fontId="44" fillId="0" borderId="0" xfId="0" quotePrefix="1" applyNumberFormat="1" applyFont="1"/>
    <xf numFmtId="170" fontId="44" fillId="0" borderId="0" xfId="0" quotePrefix="1" applyNumberFormat="1" applyFont="1" applyAlignment="1">
      <alignment horizontal="left"/>
    </xf>
    <xf numFmtId="170" fontId="44" fillId="0" borderId="13" xfId="0" applyNumberFormat="1" applyFont="1" applyBorder="1"/>
    <xf numFmtId="164" fontId="69" fillId="0" borderId="0" xfId="0" quotePrefix="1" applyFont="1"/>
    <xf numFmtId="170" fontId="51" fillId="0" borderId="0" xfId="0" quotePrefix="1" applyNumberFormat="1" applyFont="1"/>
    <xf numFmtId="170" fontId="51" fillId="0" borderId="64" xfId="0" quotePrefix="1" applyNumberFormat="1" applyFont="1" applyBorder="1"/>
    <xf numFmtId="170" fontId="51" fillId="0" borderId="0" xfId="0" quotePrefix="1" applyNumberFormat="1" applyFont="1" applyAlignment="1">
      <alignment horizontal="left"/>
    </xf>
    <xf numFmtId="170" fontId="51" fillId="0" borderId="13" xfId="0" applyNumberFormat="1" applyFont="1" applyBorder="1"/>
    <xf numFmtId="170" fontId="51" fillId="0" borderId="25" xfId="0" quotePrefix="1" applyNumberFormat="1" applyFont="1" applyBorder="1"/>
    <xf numFmtId="164" fontId="70" fillId="0" borderId="25" xfId="0" applyFont="1" applyBorder="1"/>
    <xf numFmtId="164" fontId="70" fillId="0" borderId="0" xfId="0" applyFont="1"/>
    <xf numFmtId="165" fontId="70" fillId="0" borderId="0" xfId="0" applyNumberFormat="1" applyFont="1"/>
    <xf numFmtId="192" fontId="223" fillId="0" borderId="0" xfId="17915" applyNumberFormat="1" applyFont="1" applyFill="1"/>
    <xf numFmtId="166" fontId="69" fillId="0" borderId="0" xfId="0" applyNumberFormat="1" applyFont="1"/>
    <xf numFmtId="164" fontId="69" fillId="0" borderId="45" xfId="0" applyFont="1" applyBorder="1"/>
    <xf numFmtId="170" fontId="51" fillId="0" borderId="74" xfId="0" quotePrefix="1" applyNumberFormat="1" applyFont="1" applyBorder="1" applyAlignment="1">
      <alignment horizontal="left"/>
    </xf>
    <xf numFmtId="170" fontId="51" fillId="0" borderId="69" xfId="0" applyNumberFormat="1" applyFont="1" applyBorder="1"/>
    <xf numFmtId="164" fontId="70" fillId="0" borderId="69" xfId="0" applyFont="1" applyBorder="1"/>
    <xf numFmtId="164" fontId="71" fillId="0" borderId="0" xfId="0" applyFont="1"/>
    <xf numFmtId="170" fontId="51" fillId="0" borderId="74" xfId="0" applyNumberFormat="1" applyFont="1" applyBorder="1"/>
    <xf numFmtId="172" fontId="69" fillId="0" borderId="0" xfId="0" applyNumberFormat="1" applyFont="1"/>
    <xf numFmtId="170" fontId="51" fillId="0" borderId="69" xfId="0" quotePrefix="1" applyNumberFormat="1" applyFont="1" applyBorder="1"/>
    <xf numFmtId="166" fontId="44" fillId="0" borderId="0" xfId="0" quotePrefix="1" applyNumberFormat="1" applyFont="1" applyAlignment="1">
      <alignment horizontal="right"/>
    </xf>
    <xf numFmtId="165" fontId="51" fillId="0" borderId="13" xfId="0" applyNumberFormat="1" applyFont="1" applyBorder="1"/>
    <xf numFmtId="166" fontId="51" fillId="0" borderId="65" xfId="0" applyNumberFormat="1" applyFont="1" applyBorder="1"/>
    <xf numFmtId="164" fontId="70" fillId="0" borderId="65" xfId="0" applyFont="1" applyBorder="1"/>
    <xf numFmtId="174" fontId="51" fillId="0" borderId="21" xfId="0" applyNumberFormat="1" applyFont="1" applyBorder="1"/>
    <xf numFmtId="174" fontId="51" fillId="0" borderId="74" xfId="0" applyNumberFormat="1" applyFont="1" applyBorder="1"/>
    <xf numFmtId="174" fontId="51" fillId="0" borderId="13" xfId="0" applyNumberFormat="1" applyFont="1" applyBorder="1"/>
    <xf numFmtId="164" fontId="70" fillId="0" borderId="51" xfId="0" applyFont="1" applyBorder="1"/>
    <xf numFmtId="7" fontId="177" fillId="0" borderId="0" xfId="25853" applyNumberFormat="1"/>
    <xf numFmtId="0" fontId="179" fillId="0" borderId="0" xfId="25853" applyFont="1" applyAlignment="1">
      <alignment horizontal="left"/>
    </xf>
    <xf numFmtId="0" fontId="72" fillId="0" borderId="0" xfId="25853" applyFont="1"/>
    <xf numFmtId="0" fontId="72" fillId="0" borderId="0" xfId="25853" applyFont="1" applyAlignment="1">
      <alignment horizontal="right"/>
    </xf>
    <xf numFmtId="7" fontId="51" fillId="0" borderId="0" xfId="25853" applyNumberFormat="1" applyFont="1" applyAlignment="1">
      <alignment horizontal="center"/>
    </xf>
    <xf numFmtId="7" fontId="44" fillId="0" borderId="0" xfId="25853" applyNumberFormat="1" applyFont="1"/>
    <xf numFmtId="0" fontId="183" fillId="0" borderId="0" xfId="25853" applyFont="1" applyAlignment="1">
      <alignment horizontal="center" wrapText="1"/>
    </xf>
    <xf numFmtId="37" fontId="148" fillId="0" borderId="0" xfId="25854" applyNumberFormat="1" applyFont="1" applyBorder="1">
      <alignment horizontal="right"/>
    </xf>
    <xf numFmtId="43" fontId="44" fillId="0" borderId="0" xfId="0" applyNumberFormat="1" applyFont="1" applyAlignment="1">
      <alignment horizontal="right" wrapText="1"/>
    </xf>
    <xf numFmtId="43" fontId="44" fillId="0" borderId="0" xfId="25862" applyNumberFormat="1" applyFont="1"/>
    <xf numFmtId="44" fontId="44" fillId="0" borderId="0" xfId="25862" applyNumberFormat="1" applyFont="1"/>
    <xf numFmtId="171" fontId="111" fillId="0" borderId="0" xfId="25853" applyNumberFormat="1" applyFont="1" applyAlignment="1">
      <alignment horizontal="left"/>
    </xf>
    <xf numFmtId="171" fontId="49" fillId="0" borderId="0" xfId="25853" applyNumberFormat="1" applyFont="1"/>
    <xf numFmtId="43" fontId="44" fillId="0" borderId="0" xfId="25853" applyNumberFormat="1" applyFont="1" applyAlignment="1">
      <alignment horizontal="right" wrapText="1"/>
    </xf>
    <xf numFmtId="43" fontId="44" fillId="0" borderId="0" xfId="25853" applyNumberFormat="1" applyFont="1"/>
    <xf numFmtId="43" fontId="44" fillId="0" borderId="0" xfId="25853" applyNumberFormat="1" applyFont="1" applyAlignment="1">
      <alignment horizontal="left"/>
    </xf>
    <xf numFmtId="44" fontId="44" fillId="0" borderId="0" xfId="0" applyNumberFormat="1" applyFont="1"/>
    <xf numFmtId="44" fontId="44" fillId="0" borderId="0" xfId="25853" applyNumberFormat="1" applyFont="1" applyAlignment="1">
      <alignment horizontal="left"/>
    </xf>
    <xf numFmtId="43" fontId="42" fillId="0" borderId="0" xfId="25853" applyNumberFormat="1" applyFont="1" applyAlignment="1">
      <alignment horizontal="left"/>
    </xf>
    <xf numFmtId="43" fontId="49" fillId="0" borderId="0" xfId="25853" applyNumberFormat="1" applyFont="1"/>
    <xf numFmtId="44" fontId="49" fillId="0" borderId="0" xfId="25853" applyNumberFormat="1" applyFont="1"/>
    <xf numFmtId="0" fontId="185" fillId="0" borderId="0" xfId="25853" applyFont="1" applyAlignment="1">
      <alignment horizontal="left"/>
    </xf>
    <xf numFmtId="0" fontId="148" fillId="0" borderId="0" xfId="25854" applyFont="1" applyBorder="1">
      <alignment horizontal="right"/>
    </xf>
    <xf numFmtId="7" fontId="44" fillId="0" borderId="0" xfId="25854" applyNumberFormat="1" applyFont="1" applyBorder="1">
      <alignment horizontal="right"/>
    </xf>
    <xf numFmtId="43" fontId="55" fillId="0" borderId="0" xfId="0" applyNumberFormat="1" applyFont="1" applyAlignment="1">
      <alignment horizontal="right" wrapText="1"/>
    </xf>
    <xf numFmtId="43" fontId="55" fillId="0" borderId="0" xfId="25862" applyNumberFormat="1" applyFont="1" applyAlignment="1">
      <alignment horizontal="left"/>
    </xf>
    <xf numFmtId="43" fontId="55" fillId="0" borderId="0" xfId="25866" applyNumberFormat="1" applyFont="1"/>
    <xf numFmtId="43" fontId="55" fillId="0" borderId="0" xfId="25862" applyNumberFormat="1" applyFont="1"/>
    <xf numFmtId="43" fontId="55" fillId="0" borderId="0" xfId="4571" applyNumberFormat="1" applyFont="1" applyAlignment="1">
      <alignment wrapText="1"/>
    </xf>
    <xf numFmtId="0" fontId="204" fillId="0" borderId="0" xfId="25853" applyFont="1" applyAlignment="1">
      <alignment horizontal="left"/>
    </xf>
    <xf numFmtId="7" fontId="49" fillId="0" borderId="0" xfId="25853" applyNumberFormat="1" applyFont="1"/>
    <xf numFmtId="43" fontId="204" fillId="0" borderId="0" xfId="25853" applyNumberFormat="1" applyFont="1" applyAlignment="1">
      <alignment horizontal="left"/>
    </xf>
    <xf numFmtId="44" fontId="204" fillId="0" borderId="0" xfId="25853" applyNumberFormat="1" applyFont="1" applyAlignment="1">
      <alignment horizontal="left"/>
    </xf>
    <xf numFmtId="43" fontId="44" fillId="0" borderId="0" xfId="25862" applyNumberFormat="1" applyFont="1" applyAlignment="1">
      <alignment horizontal="left"/>
    </xf>
    <xf numFmtId="43" fontId="44" fillId="0" borderId="0" xfId="25866" applyNumberFormat="1" applyFont="1" applyAlignment="1">
      <alignment horizontal="right"/>
    </xf>
    <xf numFmtId="43" fontId="44" fillId="0" borderId="0" xfId="25866" applyNumberFormat="1" applyFont="1"/>
    <xf numFmtId="43" fontId="44" fillId="0" borderId="0" xfId="4571" applyNumberFormat="1" applyAlignment="1">
      <alignment wrapText="1"/>
    </xf>
    <xf numFmtId="43" fontId="44" fillId="0" borderId="0" xfId="25853" applyNumberFormat="1" applyFont="1" applyAlignment="1">
      <alignment horizontal="right"/>
    </xf>
    <xf numFmtId="43" fontId="44" fillId="0" borderId="0" xfId="25853" applyNumberFormat="1" applyFont="1" applyAlignment="1">
      <alignment wrapText="1"/>
    </xf>
    <xf numFmtId="43" fontId="55" fillId="0" borderId="0" xfId="25866" applyNumberFormat="1" applyFont="1" applyAlignment="1">
      <alignment horizontal="right"/>
    </xf>
    <xf numFmtId="165" fontId="44" fillId="58" borderId="0" xfId="0" applyNumberFormat="1" applyFont="1" applyFill="1"/>
    <xf numFmtId="170" fontId="44" fillId="58" borderId="0" xfId="0" applyNumberFormat="1" applyFont="1" applyFill="1"/>
    <xf numFmtId="170" fontId="51" fillId="58" borderId="0" xfId="0" applyNumberFormat="1" applyFont="1" applyFill="1"/>
    <xf numFmtId="165" fontId="51" fillId="58" borderId="0" xfId="0" applyNumberFormat="1" applyFont="1" applyFill="1"/>
    <xf numFmtId="174" fontId="51" fillId="58" borderId="0" xfId="0" applyNumberFormat="1" applyFont="1" applyFill="1"/>
    <xf numFmtId="174" fontId="44" fillId="0" borderId="0" xfId="17915" applyNumberFormat="1" applyFont="1" applyFill="1" applyAlignment="1" applyProtection="1"/>
    <xf numFmtId="44" fontId="44" fillId="0" borderId="0" xfId="25856" applyNumberFormat="1" applyFont="1"/>
    <xf numFmtId="43" fontId="98" fillId="0" borderId="0" xfId="737" applyNumberFormat="1" applyFont="1"/>
    <xf numFmtId="170" fontId="55" fillId="0" borderId="0" xfId="1" applyNumberFormat="1" applyFont="1" applyAlignment="1">
      <alignment horizontal="right"/>
    </xf>
    <xf numFmtId="170" fontId="148" fillId="0" borderId="0" xfId="1" applyNumberFormat="1" applyFont="1"/>
    <xf numFmtId="177" fontId="44" fillId="0" borderId="0" xfId="0" applyNumberFormat="1" applyFont="1" applyAlignment="1">
      <alignment horizontal="center"/>
    </xf>
    <xf numFmtId="177" fontId="0" fillId="0" borderId="0" xfId="0" applyNumberFormat="1"/>
    <xf numFmtId="184" fontId="67" fillId="0" borderId="64" xfId="833" applyNumberFormat="1" applyFont="1" applyBorder="1" applyAlignment="1">
      <alignment horizontal="right"/>
    </xf>
    <xf numFmtId="177" fontId="67" fillId="0" borderId="10" xfId="737" applyNumberFormat="1" applyFont="1" applyBorder="1" applyAlignment="1">
      <alignment horizontal="right"/>
    </xf>
    <xf numFmtId="42" fontId="44" fillId="0" borderId="0" xfId="5450" applyNumberFormat="1" applyAlignment="1">
      <alignment horizontal="right"/>
    </xf>
    <xf numFmtId="41" fontId="65" fillId="0" borderId="0" xfId="5480" applyNumberFormat="1" applyFont="1" applyAlignment="1">
      <alignment horizontal="right"/>
    </xf>
    <xf numFmtId="192" fontId="51" fillId="0" borderId="0" xfId="1" applyNumberFormat="1" applyFont="1"/>
    <xf numFmtId="170" fontId="44" fillId="0" borderId="45" xfId="1" quotePrefix="1" applyNumberFormat="1" applyBorder="1" applyAlignment="1">
      <alignment horizontal="right"/>
    </xf>
    <xf numFmtId="170" fontId="51" fillId="0" borderId="45" xfId="1" quotePrefix="1" applyNumberFormat="1" applyFont="1" applyBorder="1" applyAlignment="1">
      <alignment horizontal="right"/>
    </xf>
    <xf numFmtId="192" fontId="44" fillId="0" borderId="0" xfId="17915" applyNumberFormat="1" applyFont="1" applyFill="1" applyAlignment="1">
      <alignment horizontal="right"/>
    </xf>
    <xf numFmtId="192" fontId="51" fillId="0" borderId="61" xfId="17915" applyNumberFormat="1" applyFont="1" applyFill="1" applyBorder="1" applyAlignment="1">
      <alignment horizontal="right"/>
    </xf>
    <xf numFmtId="192" fontId="51" fillId="0" borderId="45" xfId="17915" applyNumberFormat="1" applyFont="1" applyFill="1" applyBorder="1" applyAlignment="1">
      <alignment horizontal="right"/>
    </xf>
    <xf numFmtId="174" fontId="44" fillId="0" borderId="0" xfId="0" quotePrefix="1" applyNumberFormat="1" applyFont="1" applyAlignment="1">
      <alignment horizontal="right"/>
    </xf>
    <xf numFmtId="170" fontId="51" fillId="0" borderId="63" xfId="0" quotePrefix="1" applyNumberFormat="1" applyFont="1" applyBorder="1"/>
    <xf numFmtId="192" fontId="44" fillId="0" borderId="0" xfId="17915" quotePrefix="1" applyNumberFormat="1" applyFont="1" applyFill="1" applyAlignment="1">
      <alignment horizontal="right"/>
    </xf>
    <xf numFmtId="174" fontId="148" fillId="0" borderId="0" xfId="5509" applyNumberFormat="1" applyFont="1"/>
    <xf numFmtId="174" fontId="51" fillId="0" borderId="0" xfId="1" quotePrefix="1" applyNumberFormat="1" applyFont="1" applyAlignment="1">
      <alignment horizontal="center"/>
    </xf>
    <xf numFmtId="0" fontId="51" fillId="0" borderId="16" xfId="1" applyFont="1" applyBorder="1" applyAlignment="1">
      <alignment horizontal="center"/>
    </xf>
    <xf numFmtId="170" fontId="205" fillId="0" borderId="16" xfId="1" applyNumberFormat="1" applyFont="1" applyBorder="1" applyAlignment="1">
      <alignment horizontal="right"/>
    </xf>
    <xf numFmtId="166" fontId="44" fillId="0" borderId="0" xfId="5509" applyNumberFormat="1" applyFont="1"/>
    <xf numFmtId="174" fontId="51" fillId="0" borderId="0" xfId="5509" applyNumberFormat="1" applyFont="1"/>
    <xf numFmtId="170" fontId="44" fillId="0" borderId="0" xfId="17915" quotePrefix="1" applyNumberFormat="1" applyFont="1" applyFill="1" applyAlignment="1"/>
    <xf numFmtId="170" fontId="44" fillId="0" borderId="72" xfId="1" applyNumberFormat="1" applyBorder="1"/>
    <xf numFmtId="0" fontId="229" fillId="0" borderId="0" xfId="25853" applyFont="1" applyAlignment="1">
      <alignment horizontal="left"/>
    </xf>
    <xf numFmtId="0" fontId="230" fillId="0" borderId="0" xfId="25853" applyFont="1" applyAlignment="1">
      <alignment horizontal="left"/>
    </xf>
    <xf numFmtId="43" fontId="51" fillId="0" borderId="0" xfId="0" applyNumberFormat="1" applyFont="1" applyAlignment="1">
      <alignment vertical="top" wrapText="1"/>
    </xf>
    <xf numFmtId="43" fontId="55" fillId="0" borderId="0" xfId="737" applyNumberFormat="1" applyFont="1" applyAlignment="1">
      <alignment horizontal="right"/>
    </xf>
    <xf numFmtId="192" fontId="47" fillId="0" borderId="0" xfId="0" applyNumberFormat="1" applyFont="1"/>
    <xf numFmtId="192" fontId="44" fillId="0" borderId="0" xfId="0" applyNumberFormat="1" applyFont="1"/>
    <xf numFmtId="192" fontId="160" fillId="0" borderId="0" xfId="0" applyNumberFormat="1" applyFont="1"/>
    <xf numFmtId="192" fontId="161" fillId="0" borderId="0" xfId="0" applyNumberFormat="1" applyFont="1" applyAlignment="1">
      <alignment horizontal="right"/>
    </xf>
    <xf numFmtId="192" fontId="161" fillId="0" borderId="0" xfId="0" applyNumberFormat="1" applyFont="1"/>
    <xf numFmtId="192" fontId="160" fillId="0" borderId="0" xfId="0" applyNumberFormat="1" applyFont="1" applyAlignment="1">
      <alignment horizontal="center"/>
    </xf>
    <xf numFmtId="41" fontId="49" fillId="0" borderId="13" xfId="0" applyNumberFormat="1" applyFont="1" applyBorder="1"/>
    <xf numFmtId="170" fontId="160" fillId="0" borderId="0" xfId="1" applyNumberFormat="1" applyFont="1" applyAlignment="1">
      <alignment horizontal="center"/>
    </xf>
    <xf numFmtId="170" fontId="226" fillId="0" borderId="0" xfId="1" applyNumberFormat="1" applyFont="1"/>
    <xf numFmtId="177" fontId="55" fillId="0" borderId="0" xfId="737" applyNumberFormat="1" applyFont="1" applyAlignment="1">
      <alignment horizontal="right"/>
    </xf>
    <xf numFmtId="0" fontId="72" fillId="0" borderId="0" xfId="1" applyFont="1" applyAlignment="1" applyProtection="1">
      <alignment horizontal="left" vertical="center"/>
      <protection locked="0"/>
    </xf>
    <xf numFmtId="170" fontId="65" fillId="0" borderId="49" xfId="0" applyNumberFormat="1" applyFont="1" applyBorder="1"/>
    <xf numFmtId="170" fontId="44" fillId="0" borderId="19" xfId="0" applyNumberFormat="1" applyFont="1" applyBorder="1"/>
    <xf numFmtId="170" fontId="65" fillId="0" borderId="49" xfId="0" applyNumberFormat="1" applyFont="1" applyBorder="1" applyAlignment="1">
      <alignment horizontal="center"/>
    </xf>
    <xf numFmtId="170" fontId="44" fillId="0" borderId="19" xfId="0" applyNumberFormat="1" applyFont="1" applyBorder="1" applyAlignment="1">
      <alignment horizontal="center"/>
    </xf>
    <xf numFmtId="170" fontId="51" fillId="0" borderId="61" xfId="0" applyNumberFormat="1" applyFont="1" applyBorder="1" applyAlignment="1">
      <alignment horizontal="right"/>
    </xf>
    <xf numFmtId="170" fontId="51" fillId="0" borderId="19" xfId="0" applyNumberFormat="1" applyFont="1" applyBorder="1"/>
    <xf numFmtId="170" fontId="64" fillId="0" borderId="19" xfId="0" applyNumberFormat="1" applyFont="1" applyBorder="1"/>
    <xf numFmtId="170" fontId="51" fillId="0" borderId="45" xfId="0" applyNumberFormat="1" applyFont="1" applyBorder="1" applyAlignment="1">
      <alignment horizontal="center"/>
    </xf>
    <xf numFmtId="174" fontId="64" fillId="0" borderId="51" xfId="0" applyNumberFormat="1" applyFont="1" applyBorder="1"/>
    <xf numFmtId="174" fontId="64" fillId="0" borderId="19" xfId="0" applyNumberFormat="1" applyFont="1" applyBorder="1"/>
    <xf numFmtId="166" fontId="143" fillId="0" borderId="0" xfId="0" applyNumberFormat="1" applyFont="1"/>
    <xf numFmtId="166" fontId="66" fillId="0" borderId="0" xfId="0" applyNumberFormat="1" applyFont="1"/>
    <xf numFmtId="165" fontId="145" fillId="0" borderId="0" xfId="0" applyNumberFormat="1" applyFont="1"/>
    <xf numFmtId="0" fontId="86" fillId="0" borderId="0" xfId="838" applyFont="1" applyAlignment="1">
      <alignment horizontal="right"/>
    </xf>
    <xf numFmtId="0" fontId="84" fillId="0" borderId="0" xfId="1025" applyFont="1" applyAlignment="1">
      <alignment horizontal="right"/>
    </xf>
    <xf numFmtId="172" fontId="231" fillId="0" borderId="0" xfId="0" applyNumberFormat="1" applyFont="1"/>
    <xf numFmtId="43" fontId="44" fillId="0" borderId="0" xfId="49836" applyNumberFormat="1" applyFont="1" applyFill="1" applyBorder="1"/>
    <xf numFmtId="43" fontId="51" fillId="0" borderId="0" xfId="49836" applyNumberFormat="1" applyFont="1" applyFill="1" applyBorder="1"/>
    <xf numFmtId="43" fontId="44" fillId="0" borderId="0" xfId="5500" applyNumberFormat="1" applyFont="1"/>
    <xf numFmtId="172" fontId="51" fillId="0" borderId="25" xfId="0" applyNumberFormat="1" applyFont="1" applyBorder="1" applyProtection="1">
      <protection locked="0"/>
    </xf>
    <xf numFmtId="0" fontId="72" fillId="0" borderId="0" xfId="1" applyFont="1" applyAlignment="1" applyProtection="1">
      <alignment vertical="center"/>
      <protection locked="0"/>
    </xf>
    <xf numFmtId="0" fontId="0" fillId="0" borderId="0" xfId="1" applyFont="1" applyAlignment="1">
      <alignment vertical="center"/>
    </xf>
    <xf numFmtId="181" fontId="49" fillId="0" borderId="0" xfId="0" applyNumberFormat="1" applyFont="1"/>
    <xf numFmtId="44" fontId="44" fillId="0" borderId="0" xfId="25862" applyNumberFormat="1" applyFont="1" applyAlignment="1">
      <alignment horizontal="left"/>
    </xf>
    <xf numFmtId="43" fontId="50" fillId="0" borderId="0" xfId="25853" applyNumberFormat="1" applyFont="1" applyAlignment="1">
      <alignment horizontal="left"/>
    </xf>
    <xf numFmtId="0" fontId="86" fillId="0" borderId="0" xfId="25853" applyFont="1" applyAlignment="1">
      <alignment horizontal="left"/>
    </xf>
    <xf numFmtId="166" fontId="213" fillId="0" borderId="0" xfId="0" applyNumberFormat="1" applyFont="1"/>
    <xf numFmtId="164" fontId="214" fillId="0" borderId="0" xfId="0" applyFont="1"/>
    <xf numFmtId="166" fontId="45" fillId="0" borderId="0" xfId="0" applyNumberFormat="1" applyFont="1"/>
    <xf numFmtId="164" fontId="48" fillId="0" borderId="0" xfId="0" applyFont="1"/>
    <xf numFmtId="0" fontId="72" fillId="0" borderId="0" xfId="1" applyFont="1" applyProtection="1">
      <protection locked="0"/>
    </xf>
    <xf numFmtId="0" fontId="51" fillId="0" borderId="45" xfId="1" quotePrefix="1" applyFont="1" applyBorder="1" applyAlignment="1">
      <alignment horizontal="centerContinuous"/>
    </xf>
    <xf numFmtId="170" fontId="51" fillId="0" borderId="0" xfId="0" quotePrefix="1" applyNumberFormat="1" applyFont="1" applyAlignment="1">
      <alignment horizontal="right"/>
    </xf>
    <xf numFmtId="42" fontId="148" fillId="0" borderId="15" xfId="837" applyNumberFormat="1" applyFont="1" applyBorder="1"/>
    <xf numFmtId="174" fontId="205" fillId="0" borderId="0" xfId="1" applyNumberFormat="1" applyFont="1"/>
    <xf numFmtId="170" fontId="206" fillId="0" borderId="45" xfId="1" applyNumberFormat="1" applyFont="1" applyBorder="1" applyAlignment="1">
      <alignment horizontal="right"/>
    </xf>
    <xf numFmtId="165" fontId="207" fillId="0" borderId="0" xfId="0" applyNumberFormat="1" applyFont="1"/>
    <xf numFmtId="37" fontId="44" fillId="0" borderId="0" xfId="25862" applyNumberFormat="1" applyFont="1" applyAlignment="1">
      <alignment horizontal="left"/>
    </xf>
    <xf numFmtId="37" fontId="44" fillId="0" borderId="0" xfId="25862" applyNumberFormat="1" applyFont="1"/>
    <xf numFmtId="37" fontId="44" fillId="0" borderId="0" xfId="25854" applyNumberFormat="1" applyFont="1" applyBorder="1">
      <alignment horizontal="right"/>
    </xf>
    <xf numFmtId="174" fontId="205" fillId="0" borderId="0" xfId="0" applyNumberFormat="1" applyFont="1"/>
    <xf numFmtId="170" fontId="206" fillId="0" borderId="0" xfId="0" applyNumberFormat="1" applyFont="1" applyAlignment="1">
      <alignment horizontal="right"/>
    </xf>
    <xf numFmtId="170" fontId="205" fillId="0" borderId="0" xfId="0" quotePrefix="1" applyNumberFormat="1" applyFont="1"/>
    <xf numFmtId="174" fontId="0" fillId="0" borderId="0" xfId="0" applyNumberFormat="1"/>
    <xf numFmtId="174" fontId="44" fillId="0" borderId="0" xfId="0" applyNumberFormat="1" applyFont="1" applyAlignment="1">
      <alignment horizontal="right"/>
    </xf>
    <xf numFmtId="174" fontId="65" fillId="0" borderId="49" xfId="0" applyNumberFormat="1" applyFont="1" applyBorder="1"/>
    <xf numFmtId="174" fontId="44" fillId="0" borderId="19" xfId="0" applyNumberFormat="1" applyFont="1" applyBorder="1"/>
    <xf numFmtId="170" fontId="0" fillId="0" borderId="0" xfId="0" applyNumberFormat="1" applyAlignment="1">
      <alignment horizontal="right"/>
    </xf>
    <xf numFmtId="197" fontId="44" fillId="0" borderId="0" xfId="0" applyNumberFormat="1" applyFont="1" applyProtection="1">
      <protection locked="0"/>
    </xf>
    <xf numFmtId="174" fontId="44" fillId="0" borderId="17" xfId="0" applyNumberFormat="1" applyFont="1" applyBorder="1"/>
    <xf numFmtId="174" fontId="44" fillId="0" borderId="16" xfId="0" applyNumberFormat="1" applyFont="1" applyBorder="1"/>
    <xf numFmtId="170" fontId="44" fillId="0" borderId="17" xfId="0" applyNumberFormat="1" applyFont="1" applyBorder="1"/>
    <xf numFmtId="170" fontId="51" fillId="0" borderId="53" xfId="0" applyNumberFormat="1" applyFont="1" applyBorder="1"/>
    <xf numFmtId="170" fontId="51" fillId="0" borderId="17" xfId="0" applyNumberFormat="1" applyFont="1" applyBorder="1"/>
    <xf numFmtId="170" fontId="44" fillId="0" borderId="65" xfId="0" quotePrefix="1" applyNumberFormat="1" applyFont="1" applyBorder="1"/>
    <xf numFmtId="170" fontId="206" fillId="0" borderId="64" xfId="0" applyNumberFormat="1" applyFont="1" applyBorder="1"/>
    <xf numFmtId="44" fontId="148" fillId="0" borderId="0" xfId="25853" applyNumberFormat="1" applyFont="1" applyAlignment="1">
      <alignment horizontal="left"/>
    </xf>
    <xf numFmtId="44" fontId="44" fillId="0" borderId="0" xfId="25853" applyNumberFormat="1" applyFont="1"/>
    <xf numFmtId="43" fontId="148" fillId="0" borderId="0" xfId="25853" applyNumberFormat="1" applyFont="1" applyAlignment="1">
      <alignment horizontal="left"/>
    </xf>
    <xf numFmtId="43" fontId="44" fillId="0" borderId="0" xfId="25860" applyNumberFormat="1" applyFont="1" applyFill="1" applyBorder="1"/>
    <xf numFmtId="170" fontId="160" fillId="0" borderId="0" xfId="0" quotePrefix="1" applyNumberFormat="1" applyFont="1" applyAlignment="1">
      <alignment horizontal="right"/>
    </xf>
    <xf numFmtId="170" fontId="160" fillId="0" borderId="74" xfId="0" applyNumberFormat="1" applyFont="1" applyBorder="1"/>
    <xf numFmtId="170" fontId="161" fillId="0" borderId="74" xfId="0" applyNumberFormat="1" applyFont="1" applyBorder="1"/>
    <xf numFmtId="174" fontId="161" fillId="0" borderId="74" xfId="0" applyNumberFormat="1" applyFont="1" applyBorder="1"/>
    <xf numFmtId="0" fontId="2" fillId="0" borderId="0" xfId="25862" applyFont="1" applyAlignment="1">
      <alignment horizontal="left" wrapText="1"/>
    </xf>
    <xf numFmtId="185" fontId="206" fillId="0" borderId="45" xfId="0" quotePrefix="1" applyNumberFormat="1" applyFont="1" applyBorder="1" applyAlignment="1">
      <alignment horizontal="center"/>
    </xf>
    <xf numFmtId="170" fontId="206" fillId="0" borderId="45" xfId="0" applyNumberFormat="1" applyFont="1" applyBorder="1" applyAlignment="1">
      <alignment horizontal="right"/>
    </xf>
    <xf numFmtId="170" fontId="205" fillId="0" borderId="76" xfId="0" applyNumberFormat="1" applyFont="1" applyBorder="1"/>
    <xf numFmtId="174" fontId="206" fillId="0" borderId="74" xfId="0" applyNumberFormat="1" applyFont="1" applyBorder="1"/>
    <xf numFmtId="198" fontId="44" fillId="0" borderId="0" xfId="0" applyNumberFormat="1" applyFont="1"/>
    <xf numFmtId="170" fontId="51" fillId="0" borderId="64" xfId="0" quotePrefix="1" applyNumberFormat="1" applyFont="1" applyBorder="1" applyAlignment="1">
      <alignment horizontal="center"/>
    </xf>
    <xf numFmtId="165" fontId="51" fillId="0" borderId="17" xfId="0" applyNumberFormat="1" applyFont="1" applyBorder="1"/>
    <xf numFmtId="174" fontId="51" fillId="0" borderId="0" xfId="0" applyNumberFormat="1" applyFont="1" applyAlignment="1">
      <alignment horizontal="center"/>
    </xf>
    <xf numFmtId="174" fontId="51" fillId="0" borderId="18" xfId="0" applyNumberFormat="1" applyFont="1" applyBorder="1"/>
    <xf numFmtId="44" fontId="55" fillId="0" borderId="0" xfId="25862" applyNumberFormat="1" applyFont="1" applyAlignment="1">
      <alignment horizontal="left"/>
    </xf>
    <xf numFmtId="170" fontId="51" fillId="0" borderId="61" xfId="0" applyNumberFormat="1" applyFont="1" applyBorder="1" applyAlignment="1">
      <alignment horizontal="center"/>
    </xf>
    <xf numFmtId="170" fontId="64" fillId="0" borderId="49" xfId="0" applyNumberFormat="1" applyFont="1" applyBorder="1" applyAlignment="1">
      <alignment horizontal="center"/>
    </xf>
    <xf numFmtId="170" fontId="51" fillId="0" borderId="19" xfId="0" applyNumberFormat="1" applyFont="1" applyBorder="1" applyAlignment="1">
      <alignment horizontal="center"/>
    </xf>
    <xf numFmtId="167" fontId="205" fillId="0" borderId="0" xfId="0" applyNumberFormat="1" applyFont="1" applyAlignment="1">
      <alignment horizontal="center"/>
    </xf>
    <xf numFmtId="174" fontId="205" fillId="0" borderId="0" xfId="0" applyNumberFormat="1" applyFont="1" applyAlignment="1">
      <alignment horizontal="right"/>
    </xf>
    <xf numFmtId="174" fontId="205" fillId="0" borderId="0" xfId="0" quotePrefix="1" applyNumberFormat="1" applyFont="1" applyAlignment="1">
      <alignment horizontal="left"/>
    </xf>
    <xf numFmtId="174" fontId="205" fillId="0" borderId="74" xfId="0" applyNumberFormat="1" applyFont="1" applyBorder="1"/>
    <xf numFmtId="170" fontId="206" fillId="0" borderId="61" xfId="0" applyNumberFormat="1" applyFont="1" applyBorder="1" applyAlignment="1">
      <alignment horizontal="center"/>
    </xf>
    <xf numFmtId="170" fontId="217" fillId="0" borderId="0" xfId="0" applyNumberFormat="1" applyFont="1"/>
    <xf numFmtId="170" fontId="211" fillId="0" borderId="0" xfId="0" applyNumberFormat="1" applyFont="1"/>
    <xf numFmtId="166" fontId="206" fillId="0" borderId="45" xfId="0" applyNumberFormat="1" applyFont="1" applyBorder="1" applyAlignment="1">
      <alignment horizontal="left"/>
    </xf>
    <xf numFmtId="164" fontId="205" fillId="0" borderId="45" xfId="0" applyFont="1" applyBorder="1" applyAlignment="1">
      <alignment horizontal="left"/>
    </xf>
    <xf numFmtId="166" fontId="51" fillId="0" borderId="0" xfId="0" applyNumberFormat="1" applyFont="1" applyAlignment="1">
      <alignment horizontal="center"/>
    </xf>
    <xf numFmtId="164" fontId="44" fillId="0" borderId="0" xfId="0" applyFont="1" applyAlignment="1">
      <alignment horizontal="center"/>
    </xf>
    <xf numFmtId="166" fontId="51" fillId="0" borderId="45" xfId="0" applyNumberFormat="1" applyFont="1" applyBorder="1" applyAlignment="1">
      <alignment horizontal="center"/>
    </xf>
    <xf numFmtId="39" fontId="45" fillId="0" borderId="0" xfId="0" applyNumberFormat="1" applyFont="1" applyAlignment="1">
      <alignment horizontal="left"/>
    </xf>
    <xf numFmtId="164" fontId="48" fillId="0" borderId="0" xfId="0" applyFont="1" applyAlignment="1">
      <alignment horizontal="left"/>
    </xf>
    <xf numFmtId="166" fontId="45" fillId="0" borderId="0" xfId="0" applyNumberFormat="1" applyFont="1" applyAlignment="1">
      <alignment horizontal="left"/>
    </xf>
    <xf numFmtId="0" fontId="51" fillId="0" borderId="0" xfId="1" applyFont="1" applyAlignment="1">
      <alignment horizontal="right"/>
    </xf>
    <xf numFmtId="0" fontId="51" fillId="0" borderId="0" xfId="1" applyFont="1" applyAlignment="1">
      <alignment horizontal="left"/>
    </xf>
    <xf numFmtId="0" fontId="51" fillId="0" borderId="45" xfId="1" applyFont="1" applyBorder="1" applyAlignment="1">
      <alignment horizontal="center"/>
    </xf>
    <xf numFmtId="0" fontId="51" fillId="33" borderId="45" xfId="1" applyFont="1" applyFill="1" applyBorder="1" applyAlignment="1">
      <alignment horizontal="center"/>
    </xf>
    <xf numFmtId="166" fontId="78" fillId="0" borderId="0" xfId="1" applyNumberFormat="1" applyFont="1" applyAlignment="1">
      <alignment horizontal="right"/>
    </xf>
    <xf numFmtId="0" fontId="44" fillId="0" borderId="0" xfId="1"/>
    <xf numFmtId="0" fontId="51" fillId="0" borderId="45" xfId="1" quotePrefix="1" applyFont="1" applyBorder="1" applyAlignment="1">
      <alignment horizontal="center"/>
    </xf>
    <xf numFmtId="166" fontId="51" fillId="0" borderId="45" xfId="1" applyNumberFormat="1" applyFont="1" applyBorder="1" applyAlignment="1">
      <alignment horizontal="center"/>
    </xf>
    <xf numFmtId="49" fontId="51" fillId="0" borderId="45" xfId="1" quotePrefix="1" applyNumberFormat="1" applyFont="1" applyBorder="1" applyAlignment="1">
      <alignment horizontal="center"/>
    </xf>
    <xf numFmtId="0" fontId="50" fillId="0" borderId="0" xfId="3" quotePrefix="1" applyFont="1" applyAlignment="1">
      <alignment horizontal="right"/>
    </xf>
    <xf numFmtId="0" fontId="87" fillId="0" borderId="0" xfId="3"/>
    <xf numFmtId="0" fontId="51" fillId="0" borderId="0" xfId="1" quotePrefix="1" applyFont="1" applyAlignment="1">
      <alignment horizontal="center"/>
    </xf>
    <xf numFmtId="180" fontId="84" fillId="0" borderId="0" xfId="1769" quotePrefix="1" applyNumberFormat="1" applyFont="1" applyAlignment="1">
      <alignment horizontal="justify" vertical="top"/>
    </xf>
    <xf numFmtId="180" fontId="84" fillId="0" borderId="0" xfId="1769" quotePrefix="1" applyNumberFormat="1" applyFont="1" applyAlignment="1">
      <alignment horizontal="justify" vertical="top" wrapText="1"/>
    </xf>
    <xf numFmtId="180" fontId="51" fillId="0" borderId="0" xfId="1769" quotePrefix="1" applyNumberFormat="1" applyFont="1" applyAlignment="1">
      <alignment horizontal="left" vertical="distributed" wrapText="1"/>
    </xf>
    <xf numFmtId="0" fontId="50" fillId="0" borderId="45" xfId="9958" applyFont="1" applyBorder="1" applyAlignment="1">
      <alignment horizontal="center"/>
    </xf>
    <xf numFmtId="0" fontId="44" fillId="0" borderId="0" xfId="14" applyNumberFormat="1" applyAlignment="1">
      <alignment horizontal="left" wrapText="1"/>
    </xf>
    <xf numFmtId="0" fontId="67" fillId="0" borderId="30" xfId="736" applyFont="1" applyBorder="1" applyAlignment="1">
      <alignment horizontal="justify" vertical="center" wrapText="1"/>
    </xf>
    <xf numFmtId="0" fontId="67" fillId="0" borderId="31" xfId="736" applyFont="1" applyBorder="1" applyAlignment="1">
      <alignment horizontal="justify" vertical="center" wrapText="1"/>
    </xf>
    <xf numFmtId="0" fontId="67" fillId="0" borderId="32" xfId="736" applyFont="1" applyBorder="1" applyAlignment="1">
      <alignment horizontal="justify" vertical="center" wrapText="1"/>
    </xf>
    <xf numFmtId="0" fontId="67" fillId="0" borderId="33" xfId="736" applyFont="1" applyBorder="1" applyAlignment="1">
      <alignment horizontal="justify" vertical="center" wrapText="1"/>
    </xf>
    <xf numFmtId="0" fontId="67" fillId="0" borderId="0" xfId="736" applyFont="1" applyAlignment="1">
      <alignment horizontal="justify" vertical="center" wrapText="1"/>
    </xf>
    <xf numFmtId="0" fontId="67" fillId="0" borderId="24" xfId="736" applyFont="1" applyBorder="1" applyAlignment="1">
      <alignment horizontal="justify" vertical="center" wrapText="1"/>
    </xf>
    <xf numFmtId="0" fontId="67" fillId="0" borderId="34" xfId="736" applyFont="1" applyBorder="1" applyAlignment="1">
      <alignment horizontal="justify" vertical="center" wrapText="1"/>
    </xf>
    <xf numFmtId="0" fontId="67" fillId="0" borderId="29" xfId="736" applyFont="1" applyBorder="1" applyAlignment="1">
      <alignment horizontal="justify" vertical="center" wrapText="1"/>
    </xf>
    <xf numFmtId="0" fontId="67" fillId="0" borderId="35" xfId="736" applyFont="1" applyBorder="1" applyAlignment="1">
      <alignment horizontal="justify" vertical="center" wrapText="1"/>
    </xf>
    <xf numFmtId="17" fontId="51" fillId="0" borderId="45" xfId="25853" quotePrefix="1" applyNumberFormat="1" applyFont="1" applyBorder="1" applyAlignment="1">
      <alignment horizontal="center"/>
    </xf>
    <xf numFmtId="7" fontId="51" fillId="0" borderId="45" xfId="25853" applyNumberFormat="1" applyFont="1" applyBorder="1" applyAlignment="1">
      <alignment horizontal="center"/>
    </xf>
    <xf numFmtId="17" fontId="51" fillId="0" borderId="10" xfId="25853" quotePrefix="1" applyNumberFormat="1" applyFont="1" applyBorder="1" applyAlignment="1">
      <alignment horizontal="center"/>
    </xf>
    <xf numFmtId="7" fontId="51"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CCCCFF"/>
      <color rgb="FF0000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ustomProperty" Target="../customProperty2.bin"/><Relationship Id="rId5" Type="http://schemas.openxmlformats.org/officeDocument/2006/relationships/printerSettings" Target="../printerSettings/printerSettings5.bin"/><Relationship Id="rId10"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9.bin"/><Relationship Id="rId3" Type="http://schemas.openxmlformats.org/officeDocument/2006/relationships/printerSettings" Target="../printerSettings/printerSettings84.bin"/><Relationship Id="rId7" Type="http://schemas.openxmlformats.org/officeDocument/2006/relationships/printerSettings" Target="../printerSettings/printerSettings88.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10" Type="http://schemas.openxmlformats.org/officeDocument/2006/relationships/customProperty" Target="../customProperty11.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7.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5" Type="http://schemas.openxmlformats.org/officeDocument/2006/relationships/printerSettings" Target="../printerSettings/printerSettings104.bin"/><Relationship Id="rId10" Type="http://schemas.openxmlformats.org/officeDocument/2006/relationships/customProperty" Target="../customProperty12.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10" Type="http://schemas.openxmlformats.org/officeDocument/2006/relationships/customProperty" Target="../customProperty13.bin"/><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5" Type="http://schemas.openxmlformats.org/officeDocument/2006/relationships/printerSettings" Target="../printerSettings/printerSettings122.bin"/><Relationship Id="rId10" Type="http://schemas.openxmlformats.org/officeDocument/2006/relationships/customProperty" Target="../customProperty14.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4.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10" Type="http://schemas.openxmlformats.org/officeDocument/2006/relationships/customProperty" Target="../customProperty1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38.bin"/><Relationship Id="rId7" Type="http://schemas.openxmlformats.org/officeDocument/2006/relationships/printerSettings" Target="../printerSettings/printerSettings142.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5" Type="http://schemas.openxmlformats.org/officeDocument/2006/relationships/printerSettings" Target="../printerSettings/printerSettings140.bin"/><Relationship Id="rId10" Type="http://schemas.openxmlformats.org/officeDocument/2006/relationships/customProperty" Target="../customProperty16.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10" Type="http://schemas.openxmlformats.org/officeDocument/2006/relationships/customProperty" Target="../customProperty17.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61.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10" Type="http://schemas.openxmlformats.org/officeDocument/2006/relationships/customProperty" Target="../customProperty18.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70.bin"/><Relationship Id="rId3" Type="http://schemas.openxmlformats.org/officeDocument/2006/relationships/printerSettings" Target="../printerSettings/printerSettings165.bin"/><Relationship Id="rId7" Type="http://schemas.openxmlformats.org/officeDocument/2006/relationships/printerSettings" Target="../printerSettings/printerSettings169.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10" Type="http://schemas.openxmlformats.org/officeDocument/2006/relationships/customProperty" Target="../customProperty19.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customProperty" Target="../customProperty3.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10" Type="http://schemas.openxmlformats.org/officeDocument/2006/relationships/customProperty" Target="../customProperty2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8.bin"/><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10" Type="http://schemas.openxmlformats.org/officeDocument/2006/relationships/customProperty" Target="../customProperty21.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7.bin"/><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10" Type="http://schemas.openxmlformats.org/officeDocument/2006/relationships/customProperty" Target="../customProperty22.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06.bin"/><Relationship Id="rId3" Type="http://schemas.openxmlformats.org/officeDocument/2006/relationships/printerSettings" Target="../printerSettings/printerSettings201.bin"/><Relationship Id="rId7" Type="http://schemas.openxmlformats.org/officeDocument/2006/relationships/printerSettings" Target="../printerSettings/printerSettings205.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6" Type="http://schemas.openxmlformats.org/officeDocument/2006/relationships/printerSettings" Target="../printerSettings/printerSettings204.bin"/><Relationship Id="rId5" Type="http://schemas.openxmlformats.org/officeDocument/2006/relationships/printerSettings" Target="../printerSettings/printerSettings203.bin"/><Relationship Id="rId10" Type="http://schemas.openxmlformats.org/officeDocument/2006/relationships/customProperty" Target="../customProperty23.bin"/><Relationship Id="rId4" Type="http://schemas.openxmlformats.org/officeDocument/2006/relationships/printerSettings" Target="../printerSettings/printerSettings202.bin"/><Relationship Id="rId9"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10" Type="http://schemas.openxmlformats.org/officeDocument/2006/relationships/customProperty" Target="../customProperty24.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10" Type="http://schemas.openxmlformats.org/officeDocument/2006/relationships/customProperty" Target="../customProperty25.bin"/><Relationship Id="rId4" Type="http://schemas.openxmlformats.org/officeDocument/2006/relationships/printerSettings" Target="../printerSettings/printerSettings220.bin"/><Relationship Id="rId9"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33.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10" Type="http://schemas.openxmlformats.org/officeDocument/2006/relationships/customProperty" Target="../customProperty26.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5" Type="http://schemas.openxmlformats.org/officeDocument/2006/relationships/printerSettings" Target="../printerSettings/printerSettings239.bin"/><Relationship Id="rId10" Type="http://schemas.openxmlformats.org/officeDocument/2006/relationships/customProperty" Target="../customProperty27.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51.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5" Type="http://schemas.openxmlformats.org/officeDocument/2006/relationships/printerSettings" Target="../printerSettings/printerSettings248.bin"/><Relationship Id="rId10" Type="http://schemas.openxmlformats.org/officeDocument/2006/relationships/customProperty" Target="../customProperty28.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60.bin"/><Relationship Id="rId3" Type="http://schemas.openxmlformats.org/officeDocument/2006/relationships/printerSettings" Target="../printerSettings/printerSettings255.bin"/><Relationship Id="rId7" Type="http://schemas.openxmlformats.org/officeDocument/2006/relationships/printerSettings" Target="../printerSettings/printerSettings259.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5" Type="http://schemas.openxmlformats.org/officeDocument/2006/relationships/printerSettings" Target="../printerSettings/printerSettings257.bin"/><Relationship Id="rId10" Type="http://schemas.openxmlformats.org/officeDocument/2006/relationships/customProperty" Target="../customProperty29.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customProperty" Target="../customProperty4.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69.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5" Type="http://schemas.openxmlformats.org/officeDocument/2006/relationships/printerSettings" Target="../printerSettings/printerSettings266.bin"/><Relationship Id="rId10" Type="http://schemas.openxmlformats.org/officeDocument/2006/relationships/customProperty" Target="../customProperty30.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78.bin"/><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5" Type="http://schemas.openxmlformats.org/officeDocument/2006/relationships/printerSettings" Target="../printerSettings/printerSettings275.bin"/><Relationship Id="rId10" Type="http://schemas.openxmlformats.org/officeDocument/2006/relationships/customProperty" Target="../customProperty31.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5" Type="http://schemas.openxmlformats.org/officeDocument/2006/relationships/printerSettings" Target="../printerSettings/printerSettings284.bin"/><Relationship Id="rId10" Type="http://schemas.openxmlformats.org/officeDocument/2006/relationships/customProperty" Target="../customProperty32.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10" Type="http://schemas.openxmlformats.org/officeDocument/2006/relationships/customProperty" Target="../customProperty33.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05.bin"/><Relationship Id="rId3" Type="http://schemas.openxmlformats.org/officeDocument/2006/relationships/printerSettings" Target="../printerSettings/printerSettings300.bin"/><Relationship Id="rId7" Type="http://schemas.openxmlformats.org/officeDocument/2006/relationships/printerSettings" Target="../printerSettings/printerSettings304.bin"/><Relationship Id="rId2" Type="http://schemas.openxmlformats.org/officeDocument/2006/relationships/printerSettings" Target="../printerSettings/printerSettings299.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5" Type="http://schemas.openxmlformats.org/officeDocument/2006/relationships/printerSettings" Target="../printerSettings/printerSettings302.bin"/><Relationship Id="rId10" Type="http://schemas.openxmlformats.org/officeDocument/2006/relationships/customProperty" Target="../customProperty34.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customProperty" Target="../customProperty3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23.bin"/><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drawing" Target="../drawings/drawing2.xml"/><Relationship Id="rId5" Type="http://schemas.openxmlformats.org/officeDocument/2006/relationships/printerSettings" Target="../printerSettings/printerSettings320.bin"/><Relationship Id="rId10" Type="http://schemas.openxmlformats.org/officeDocument/2006/relationships/customProperty" Target="../customProperty36.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5" Type="http://schemas.openxmlformats.org/officeDocument/2006/relationships/printerSettings" Target="../printerSettings/printerSettings329.bin"/><Relationship Id="rId10" Type="http://schemas.openxmlformats.org/officeDocument/2006/relationships/customProperty" Target="../customProperty37.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1.bin"/><Relationship Id="rId3" Type="http://schemas.openxmlformats.org/officeDocument/2006/relationships/printerSettings" Target="../printerSettings/printerSettings336.bin"/><Relationship Id="rId7" Type="http://schemas.openxmlformats.org/officeDocument/2006/relationships/printerSettings" Target="../printerSettings/printerSettings340.bin"/><Relationship Id="rId2" Type="http://schemas.openxmlformats.org/officeDocument/2006/relationships/printerSettings" Target="../printerSettings/printerSettings335.bin"/><Relationship Id="rId1" Type="http://schemas.openxmlformats.org/officeDocument/2006/relationships/printerSettings" Target="../printerSettings/printerSettings334.bin"/><Relationship Id="rId6" Type="http://schemas.openxmlformats.org/officeDocument/2006/relationships/printerSettings" Target="../printerSettings/printerSettings339.bin"/><Relationship Id="rId5" Type="http://schemas.openxmlformats.org/officeDocument/2006/relationships/printerSettings" Target="../printerSettings/printerSettings338.bin"/><Relationship Id="rId10" Type="http://schemas.openxmlformats.org/officeDocument/2006/relationships/customProperty" Target="../customProperty38.bin"/><Relationship Id="rId4" Type="http://schemas.openxmlformats.org/officeDocument/2006/relationships/printerSettings" Target="../printerSettings/printerSettings337.bin"/><Relationship Id="rId9" Type="http://schemas.openxmlformats.org/officeDocument/2006/relationships/printerSettings" Target="../printerSettings/printerSettings342.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10" Type="http://schemas.openxmlformats.org/officeDocument/2006/relationships/customProperty" Target="../customProperty39.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customProperty" Target="../customProperty5.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5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2" Type="http://schemas.openxmlformats.org/officeDocument/2006/relationships/printerSettings" Target="../printerSettings/printerSettings353.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5" Type="http://schemas.openxmlformats.org/officeDocument/2006/relationships/printerSettings" Target="../printerSettings/printerSettings356.bin"/><Relationship Id="rId10" Type="http://schemas.openxmlformats.org/officeDocument/2006/relationships/customProperty" Target="../customProperty4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68.bin"/><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7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5" Type="http://schemas.openxmlformats.org/officeDocument/2006/relationships/printerSettings" Target="../printerSettings/printerSettings374.bin"/><Relationship Id="rId10" Type="http://schemas.openxmlformats.org/officeDocument/2006/relationships/customProperty" Target="../customProperty41.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86.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5" Type="http://schemas.openxmlformats.org/officeDocument/2006/relationships/printerSettings" Target="../printerSettings/printerSettings383.bin"/><Relationship Id="rId10" Type="http://schemas.openxmlformats.org/officeDocument/2006/relationships/customProperty" Target="../customProperty42.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95.bin"/><Relationship Id="rId3" Type="http://schemas.openxmlformats.org/officeDocument/2006/relationships/printerSettings" Target="../printerSettings/printerSettings390.bin"/><Relationship Id="rId7" Type="http://schemas.openxmlformats.org/officeDocument/2006/relationships/printerSettings" Target="../printerSettings/printerSettings394.bin"/><Relationship Id="rId2" Type="http://schemas.openxmlformats.org/officeDocument/2006/relationships/printerSettings" Target="../printerSettings/printerSettings389.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5" Type="http://schemas.openxmlformats.org/officeDocument/2006/relationships/printerSettings" Target="../printerSettings/printerSettings392.bin"/><Relationship Id="rId10" Type="http://schemas.openxmlformats.org/officeDocument/2006/relationships/customProperty" Target="../customProperty43.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04.bin"/><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5" Type="http://schemas.openxmlformats.org/officeDocument/2006/relationships/printerSettings" Target="../printerSettings/printerSettings401.bin"/><Relationship Id="rId10" Type="http://schemas.openxmlformats.org/officeDocument/2006/relationships/customProperty" Target="../customProperty44.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customProperty" Target="../customProperty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10" Type="http://schemas.openxmlformats.org/officeDocument/2006/relationships/customProperty" Target="../customProperty7.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10" Type="http://schemas.openxmlformats.org/officeDocument/2006/relationships/customProperty" Target="../customProperty8.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10" Type="http://schemas.openxmlformats.org/officeDocument/2006/relationships/customProperty" Target="../customProperty9.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10" Type="http://schemas.openxmlformats.org/officeDocument/2006/relationships/customProperty" Target="../customProperty10.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L109"/>
  <sheetViews>
    <sheetView showGridLines="0" tabSelected="1" workbookViewId="0"/>
  </sheetViews>
  <sheetFormatPr defaultColWidth="8.88671875" defaultRowHeight="12.75"/>
  <cols>
    <col min="1" max="1" width="2.109375" style="236" customWidth="1"/>
    <col min="2" max="2" width="22.88671875" style="236" customWidth="1"/>
    <col min="3" max="3" width="6" style="236" customWidth="1"/>
    <col min="4" max="4" width="24.109375" style="236" customWidth="1"/>
    <col min="5" max="6" width="12.44140625" style="236" customWidth="1"/>
    <col min="7" max="7" width="4" style="236" customWidth="1"/>
    <col min="8" max="8" width="12.44140625" style="236" customWidth="1"/>
    <col min="9" max="9" width="12" style="236" customWidth="1"/>
    <col min="10" max="10" width="3.88671875" style="236" customWidth="1"/>
    <col min="11" max="11" width="28.44140625" style="236" customWidth="1"/>
    <col min="12" max="16384" width="8.88671875" style="236"/>
  </cols>
  <sheetData>
    <row r="1" spans="1:11" s="233" customFormat="1">
      <c r="A1" s="231"/>
      <c r="B1" s="231"/>
      <c r="C1" s="231"/>
      <c r="D1" s="231"/>
      <c r="E1" s="231"/>
      <c r="F1" s="231"/>
      <c r="G1" s="231"/>
      <c r="H1" s="231"/>
      <c r="I1" s="231"/>
      <c r="J1" s="232"/>
    </row>
    <row r="2" spans="1:11" s="233" customFormat="1">
      <c r="A2" s="231"/>
      <c r="B2" s="231"/>
      <c r="C2" s="231"/>
      <c r="D2" s="231"/>
      <c r="E2" s="231"/>
      <c r="F2" s="231"/>
      <c r="G2" s="231"/>
      <c r="H2" s="231"/>
      <c r="I2" s="231"/>
      <c r="J2" s="232"/>
    </row>
    <row r="3" spans="1:11" s="233" customFormat="1">
      <c r="A3" s="231"/>
      <c r="B3" s="231"/>
      <c r="C3" s="231"/>
      <c r="D3" s="231"/>
      <c r="E3" s="231"/>
      <c r="F3" s="231"/>
      <c r="G3" s="231"/>
      <c r="H3" s="231"/>
      <c r="I3" s="231"/>
      <c r="J3" s="232"/>
    </row>
    <row r="4" spans="1:11" s="233" customFormat="1">
      <c r="A4" s="231" t="s">
        <v>0</v>
      </c>
      <c r="B4" s="231"/>
      <c r="C4" s="231"/>
      <c r="D4" s="231"/>
      <c r="E4" s="231"/>
      <c r="F4" s="231"/>
      <c r="G4" s="231"/>
      <c r="H4" s="231"/>
      <c r="I4" s="327" t="s">
        <v>1</v>
      </c>
      <c r="J4" s="232"/>
    </row>
    <row r="5" spans="1:11" ht="18">
      <c r="A5" s="231" t="s">
        <v>2</v>
      </c>
      <c r="B5" s="234"/>
      <c r="C5" s="234"/>
      <c r="D5" s="234"/>
      <c r="E5" s="234"/>
      <c r="F5" s="234"/>
      <c r="G5" s="234"/>
      <c r="H5" s="234"/>
      <c r="I5" s="327" t="s">
        <v>3</v>
      </c>
      <c r="J5" s="235"/>
    </row>
    <row r="6" spans="1:11" ht="18">
      <c r="A6" s="231" t="s">
        <v>4</v>
      </c>
      <c r="B6" s="234"/>
      <c r="C6" s="234"/>
      <c r="D6" s="234"/>
      <c r="E6" s="234"/>
      <c r="F6" s="234"/>
      <c r="G6" s="234"/>
      <c r="H6" s="234"/>
      <c r="I6" s="234"/>
      <c r="J6" s="235"/>
    </row>
    <row r="7" spans="1:11" ht="18">
      <c r="A7" s="231" t="s">
        <v>5</v>
      </c>
      <c r="B7" s="234"/>
      <c r="C7" s="234"/>
      <c r="D7" s="234"/>
      <c r="E7" s="234"/>
      <c r="F7" s="234"/>
      <c r="G7" s="234"/>
      <c r="H7" s="234"/>
      <c r="I7" s="234"/>
      <c r="J7" s="235"/>
    </row>
    <row r="8" spans="1:11" ht="18.75" thickBot="1">
      <c r="A8" s="234"/>
      <c r="B8" s="234"/>
      <c r="C8" s="234"/>
      <c r="D8" s="234"/>
      <c r="E8" s="234"/>
      <c r="F8" s="234"/>
      <c r="G8" s="234"/>
      <c r="H8" s="234"/>
      <c r="I8" s="234"/>
      <c r="J8" s="235"/>
    </row>
    <row r="9" spans="1:11" ht="18.75" thickTop="1">
      <c r="A9" s="237" t="s">
        <v>6</v>
      </c>
      <c r="B9" s="238"/>
      <c r="C9" s="238"/>
      <c r="D9" s="238"/>
      <c r="E9" s="238"/>
      <c r="F9" s="238"/>
      <c r="G9" s="238"/>
      <c r="H9" s="238"/>
      <c r="I9" s="238"/>
      <c r="J9" s="239"/>
    </row>
    <row r="10" spans="1:11" ht="18.75" thickBot="1">
      <c r="A10" s="554" t="str">
        <f>_xlfn.TEXTAFTER('Exh D Governmental  '!A6," ",4)</f>
        <v>JUNE 30, 2026</v>
      </c>
      <c r="B10" s="234"/>
      <c r="C10" s="234"/>
      <c r="D10" s="234"/>
      <c r="E10" s="234"/>
      <c r="F10" s="234"/>
      <c r="G10" s="234"/>
      <c r="H10" s="234"/>
      <c r="I10" s="234"/>
      <c r="J10" s="239"/>
      <c r="K10" s="1484"/>
    </row>
    <row r="11" spans="1:11" ht="18.75" thickTop="1">
      <c r="A11" s="240"/>
      <c r="B11" s="241"/>
      <c r="C11" s="241"/>
      <c r="D11" s="241"/>
      <c r="E11" s="241"/>
      <c r="F11" s="241"/>
      <c r="G11" s="241"/>
      <c r="H11" s="241"/>
      <c r="I11" s="241"/>
      <c r="J11" s="242"/>
      <c r="K11" s="1484"/>
    </row>
    <row r="12" spans="1:11">
      <c r="A12" s="231" t="s">
        <v>7</v>
      </c>
      <c r="B12" s="234"/>
      <c r="C12" s="234"/>
      <c r="D12" s="234"/>
      <c r="E12" s="231"/>
      <c r="F12" s="231"/>
      <c r="G12" s="231"/>
      <c r="H12" s="234"/>
      <c r="I12" s="234"/>
      <c r="J12" s="243"/>
    </row>
    <row r="13" spans="1:11">
      <c r="A13" s="233"/>
      <c r="J13" s="243"/>
    </row>
    <row r="14" spans="1:11">
      <c r="A14" s="233" t="s">
        <v>8</v>
      </c>
      <c r="B14" s="246"/>
      <c r="J14" s="244"/>
    </row>
    <row r="15" spans="1:11">
      <c r="A15" s="233"/>
      <c r="B15" s="271"/>
      <c r="J15" s="244"/>
    </row>
    <row r="16" spans="1:11">
      <c r="A16" s="233"/>
      <c r="B16" s="518" t="s">
        <v>9</v>
      </c>
      <c r="D16" s="245" t="s">
        <v>10</v>
      </c>
      <c r="F16" s="246"/>
      <c r="J16" s="272">
        <v>2</v>
      </c>
    </row>
    <row r="17" spans="1:11">
      <c r="A17" s="233"/>
      <c r="B17" s="518" t="s">
        <v>11</v>
      </c>
      <c r="D17" s="236" t="s">
        <v>12</v>
      </c>
      <c r="E17" s="1095"/>
      <c r="F17" s="1096"/>
      <c r="G17" s="1095"/>
      <c r="H17" s="1095"/>
      <c r="I17" s="1095"/>
      <c r="J17" s="272">
        <v>3</v>
      </c>
    </row>
    <row r="18" spans="1:11">
      <c r="A18" s="248"/>
      <c r="B18" s="513" t="s">
        <v>13</v>
      </c>
      <c r="D18" s="980" t="s">
        <v>14</v>
      </c>
      <c r="E18" s="245"/>
      <c r="F18" s="245"/>
      <c r="G18" s="245"/>
      <c r="H18" s="245"/>
      <c r="I18" s="245"/>
      <c r="J18" s="272">
        <v>4</v>
      </c>
    </row>
    <row r="19" spans="1:11">
      <c r="A19" s="233"/>
      <c r="B19" s="513" t="s">
        <v>15</v>
      </c>
      <c r="D19" s="981" t="s">
        <v>16</v>
      </c>
      <c r="E19" s="981"/>
      <c r="F19" s="981"/>
      <c r="G19" s="981"/>
      <c r="H19" s="981"/>
      <c r="I19" s="981"/>
      <c r="J19" s="272">
        <v>5</v>
      </c>
    </row>
    <row r="20" spans="1:11">
      <c r="A20" s="233"/>
      <c r="B20" s="513" t="s">
        <v>17</v>
      </c>
      <c r="D20" s="981" t="s">
        <v>18</v>
      </c>
      <c r="E20" s="981"/>
      <c r="F20" s="981"/>
      <c r="G20" s="981"/>
      <c r="H20" s="981"/>
      <c r="I20" s="981"/>
      <c r="J20" s="272">
        <v>6</v>
      </c>
    </row>
    <row r="21" spans="1:11">
      <c r="A21" s="233"/>
      <c r="B21" s="518" t="s">
        <v>19</v>
      </c>
      <c r="D21" s="980" t="s">
        <v>20</v>
      </c>
      <c r="E21" s="981"/>
      <c r="F21" s="981"/>
      <c r="G21" s="981"/>
      <c r="H21" s="981"/>
      <c r="I21" s="981"/>
      <c r="J21" s="272">
        <v>7</v>
      </c>
    </row>
    <row r="22" spans="1:11">
      <c r="A22" s="233"/>
      <c r="B22" s="513" t="s">
        <v>21</v>
      </c>
      <c r="D22" s="980" t="s">
        <v>22</v>
      </c>
      <c r="E22" s="981"/>
      <c r="F22" s="981"/>
      <c r="G22" s="981"/>
      <c r="H22" s="981"/>
      <c r="I22" s="981"/>
      <c r="J22" s="272">
        <v>8</v>
      </c>
    </row>
    <row r="23" spans="1:11">
      <c r="A23" s="233"/>
      <c r="B23" s="518" t="s">
        <v>23</v>
      </c>
      <c r="D23" s="980" t="s">
        <v>24</v>
      </c>
      <c r="E23" s="981"/>
      <c r="F23" s="981"/>
      <c r="G23" s="981"/>
      <c r="H23" s="981"/>
      <c r="I23" s="981"/>
      <c r="J23" s="272">
        <v>9</v>
      </c>
    </row>
    <row r="24" spans="1:11">
      <c r="A24" s="233"/>
      <c r="B24" s="513" t="s">
        <v>25</v>
      </c>
      <c r="D24" s="980" t="s">
        <v>26</v>
      </c>
      <c r="E24" s="981"/>
      <c r="F24" s="981"/>
      <c r="G24" s="981"/>
      <c r="H24" s="981"/>
      <c r="I24" s="981"/>
      <c r="J24" s="272">
        <v>10</v>
      </c>
    </row>
    <row r="25" spans="1:11">
      <c r="A25" s="233"/>
      <c r="B25" s="513" t="s">
        <v>27</v>
      </c>
      <c r="D25" s="980" t="s">
        <v>28</v>
      </c>
      <c r="E25" s="981"/>
      <c r="F25" s="981"/>
      <c r="G25" s="981"/>
      <c r="H25" s="981"/>
      <c r="I25" s="981"/>
      <c r="J25" s="272">
        <v>11</v>
      </c>
    </row>
    <row r="26" spans="1:11">
      <c r="A26" s="233"/>
      <c r="B26" s="513" t="s">
        <v>29</v>
      </c>
      <c r="D26" s="980" t="s">
        <v>30</v>
      </c>
      <c r="E26" s="981"/>
      <c r="F26" s="981"/>
      <c r="G26" s="981"/>
      <c r="H26" s="981"/>
      <c r="I26" s="981"/>
      <c r="J26" s="272">
        <v>12</v>
      </c>
    </row>
    <row r="27" spans="1:11">
      <c r="A27" s="233"/>
      <c r="B27" s="513" t="s">
        <v>31</v>
      </c>
      <c r="D27" s="980" t="s">
        <v>32</v>
      </c>
      <c r="E27" s="981"/>
      <c r="F27" s="981"/>
      <c r="G27" s="981"/>
      <c r="H27" s="981"/>
      <c r="I27" s="981"/>
      <c r="J27" s="272">
        <v>13</v>
      </c>
    </row>
    <row r="28" spans="1:11">
      <c r="A28" s="233"/>
      <c r="B28" s="513" t="s">
        <v>33</v>
      </c>
      <c r="D28" s="980" t="s">
        <v>34</v>
      </c>
      <c r="E28" s="981"/>
      <c r="F28" s="981"/>
      <c r="G28" s="981"/>
      <c r="H28" s="981"/>
      <c r="I28" s="981"/>
      <c r="J28" s="272">
        <v>14</v>
      </c>
    </row>
    <row r="29" spans="1:11">
      <c r="A29" s="233"/>
      <c r="B29" s="513" t="s">
        <v>35</v>
      </c>
      <c r="D29" s="249" t="s">
        <v>36</v>
      </c>
      <c r="E29" s="981"/>
      <c r="F29" s="981"/>
      <c r="G29" s="981"/>
      <c r="H29" s="981"/>
      <c r="I29" s="981"/>
      <c r="J29" s="272">
        <v>15</v>
      </c>
    </row>
    <row r="30" spans="1:11">
      <c r="A30" s="233"/>
      <c r="B30" s="518" t="s">
        <v>37</v>
      </c>
      <c r="D30" s="980" t="s">
        <v>38</v>
      </c>
      <c r="E30" s="980"/>
      <c r="F30" s="980"/>
      <c r="G30" s="980"/>
      <c r="H30" s="980"/>
      <c r="I30" s="980"/>
      <c r="J30" s="272">
        <v>16</v>
      </c>
      <c r="K30" s="233"/>
    </row>
    <row r="31" spans="1:11">
      <c r="A31" s="233"/>
      <c r="B31" s="513" t="s">
        <v>39</v>
      </c>
      <c r="D31" s="980" t="s">
        <v>12</v>
      </c>
      <c r="E31" s="1095"/>
      <c r="F31" s="1095"/>
      <c r="G31" s="1095"/>
      <c r="H31" s="1095"/>
      <c r="I31" s="1095"/>
      <c r="J31" s="272">
        <v>18</v>
      </c>
      <c r="K31" s="233"/>
    </row>
    <row r="32" spans="1:11">
      <c r="A32" s="233"/>
      <c r="B32" s="513"/>
      <c r="J32" s="272"/>
      <c r="K32" s="233"/>
    </row>
    <row r="33" spans="1:11">
      <c r="A33" s="233"/>
      <c r="B33" s="514"/>
      <c r="J33" s="272"/>
    </row>
    <row r="34" spans="1:11">
      <c r="A34" s="233" t="s">
        <v>40</v>
      </c>
      <c r="B34" s="515"/>
      <c r="C34" s="233"/>
      <c r="D34" s="233"/>
      <c r="E34" s="233"/>
      <c r="F34" s="233"/>
      <c r="G34" s="233"/>
      <c r="H34" s="233"/>
      <c r="I34" s="233"/>
      <c r="J34" s="273"/>
    </row>
    <row r="35" spans="1:11">
      <c r="A35" s="233"/>
      <c r="B35" s="515"/>
      <c r="C35" s="233"/>
      <c r="D35" s="233"/>
      <c r="E35" s="233"/>
      <c r="F35" s="233"/>
      <c r="G35" s="233"/>
      <c r="H35" s="233"/>
      <c r="I35" s="233"/>
      <c r="J35" s="273"/>
    </row>
    <row r="36" spans="1:11">
      <c r="A36" s="233"/>
      <c r="B36" s="518" t="s">
        <v>41</v>
      </c>
      <c r="D36" s="245" t="s">
        <v>42</v>
      </c>
      <c r="E36" s="245"/>
      <c r="F36" s="245"/>
      <c r="G36" s="245"/>
      <c r="H36" s="245"/>
      <c r="I36" s="245"/>
      <c r="J36" s="272">
        <v>20</v>
      </c>
    </row>
    <row r="37" spans="1:11">
      <c r="A37" s="233"/>
      <c r="B37" s="518" t="s">
        <v>43</v>
      </c>
      <c r="D37" s="236" t="s">
        <v>44</v>
      </c>
      <c r="J37" s="272">
        <v>22</v>
      </c>
    </row>
    <row r="38" spans="1:11">
      <c r="A38" s="233"/>
      <c r="B38" s="518" t="s">
        <v>45</v>
      </c>
      <c r="D38" s="981" t="s">
        <v>46</v>
      </c>
      <c r="E38" s="981"/>
      <c r="F38" s="981"/>
      <c r="G38" s="981"/>
      <c r="H38" s="981"/>
      <c r="I38" s="981"/>
      <c r="J38" s="272">
        <v>24</v>
      </c>
    </row>
    <row r="39" spans="1:11">
      <c r="A39" s="233"/>
      <c r="B39" s="518" t="s">
        <v>47</v>
      </c>
      <c r="D39" s="981" t="s">
        <v>48</v>
      </c>
      <c r="E39" s="981"/>
      <c r="F39" s="981"/>
      <c r="G39" s="981"/>
      <c r="H39" s="981"/>
      <c r="I39" s="981"/>
      <c r="J39" s="272">
        <v>26</v>
      </c>
    </row>
    <row r="40" spans="1:11">
      <c r="A40" s="233"/>
      <c r="B40" s="513" t="s">
        <v>49</v>
      </c>
      <c r="D40" s="981" t="s">
        <v>50</v>
      </c>
      <c r="E40" s="981"/>
      <c r="F40" s="981"/>
      <c r="G40" s="981"/>
      <c r="H40" s="981"/>
      <c r="I40" s="981"/>
      <c r="J40" s="272">
        <v>28</v>
      </c>
    </row>
    <row r="41" spans="1:11">
      <c r="A41" s="233"/>
      <c r="B41" s="518" t="s">
        <v>51</v>
      </c>
      <c r="D41" s="981" t="s">
        <v>52</v>
      </c>
      <c r="E41" s="981"/>
      <c r="F41" s="981"/>
      <c r="G41" s="981"/>
      <c r="H41" s="981"/>
      <c r="I41" s="981"/>
      <c r="J41" s="272">
        <v>29</v>
      </c>
    </row>
    <row r="42" spans="1:11">
      <c r="A42" s="233"/>
      <c r="B42" s="518" t="s">
        <v>53</v>
      </c>
      <c r="D42" s="981" t="s">
        <v>54</v>
      </c>
      <c r="E42" s="981"/>
      <c r="F42" s="981"/>
      <c r="G42" s="981"/>
      <c r="H42" s="981"/>
      <c r="I42" s="981"/>
      <c r="J42" s="272">
        <v>31</v>
      </c>
    </row>
    <row r="43" spans="1:11">
      <c r="A43" s="233"/>
      <c r="B43" s="518" t="s">
        <v>55</v>
      </c>
      <c r="D43" s="981" t="s">
        <v>56</v>
      </c>
      <c r="E43" s="981"/>
      <c r="F43" s="981"/>
      <c r="G43" s="981"/>
      <c r="H43" s="981"/>
      <c r="I43" s="981"/>
      <c r="J43" s="272">
        <v>33</v>
      </c>
    </row>
    <row r="44" spans="1:11">
      <c r="A44" s="233"/>
      <c r="B44" s="513" t="s">
        <v>57</v>
      </c>
      <c r="D44" s="981" t="s">
        <v>58</v>
      </c>
      <c r="E44" s="981"/>
      <c r="F44" s="981"/>
      <c r="G44" s="981"/>
      <c r="H44" s="981"/>
      <c r="I44" s="981"/>
      <c r="J44" s="272">
        <v>34</v>
      </c>
    </row>
    <row r="45" spans="1:11">
      <c r="A45" s="233"/>
      <c r="B45" s="518" t="s">
        <v>59</v>
      </c>
      <c r="D45" s="981" t="s">
        <v>60</v>
      </c>
      <c r="E45" s="981"/>
      <c r="F45" s="981"/>
      <c r="G45" s="981"/>
      <c r="H45" s="981"/>
      <c r="I45" s="981"/>
      <c r="J45" s="272">
        <v>35</v>
      </c>
    </row>
    <row r="46" spans="1:11">
      <c r="A46" s="233"/>
      <c r="B46" s="513" t="s">
        <v>61</v>
      </c>
      <c r="D46" s="981" t="s">
        <v>62</v>
      </c>
      <c r="E46" s="981"/>
      <c r="F46" s="981"/>
      <c r="G46" s="981"/>
      <c r="H46" s="981"/>
      <c r="I46" s="981"/>
      <c r="J46" s="272">
        <v>36</v>
      </c>
    </row>
    <row r="47" spans="1:11">
      <c r="A47" s="233"/>
      <c r="B47" s="513" t="s">
        <v>63</v>
      </c>
      <c r="D47" s="980" t="s">
        <v>64</v>
      </c>
      <c r="E47" s="980"/>
      <c r="F47" s="980"/>
      <c r="G47" s="980"/>
      <c r="H47" s="980"/>
      <c r="I47" s="980"/>
      <c r="J47" s="272">
        <v>37</v>
      </c>
      <c r="K47" s="233"/>
    </row>
    <row r="48" spans="1:11">
      <c r="A48" s="233"/>
      <c r="B48" s="514"/>
      <c r="J48" s="272"/>
    </row>
    <row r="49" spans="1:12">
      <c r="A49" s="233" t="s">
        <v>65</v>
      </c>
      <c r="B49" s="514"/>
      <c r="J49" s="272"/>
    </row>
    <row r="50" spans="1:12">
      <c r="A50" s="233"/>
      <c r="B50" s="515"/>
      <c r="C50" s="233"/>
      <c r="D50" s="233"/>
      <c r="E50" s="233"/>
      <c r="F50" s="233"/>
      <c r="G50" s="233"/>
      <c r="H50" s="233"/>
      <c r="I50" s="233"/>
      <c r="J50" s="273"/>
    </row>
    <row r="51" spans="1:12">
      <c r="A51" s="233"/>
      <c r="B51" s="513" t="s">
        <v>66</v>
      </c>
      <c r="D51" s="236" t="s">
        <v>67</v>
      </c>
      <c r="J51" s="272">
        <v>38</v>
      </c>
    </row>
    <row r="52" spans="1:12">
      <c r="A52" s="233"/>
      <c r="B52" s="513" t="s">
        <v>68</v>
      </c>
      <c r="D52" s="981" t="s">
        <v>69</v>
      </c>
      <c r="E52" s="981"/>
      <c r="F52" s="981"/>
      <c r="G52" s="981"/>
      <c r="H52" s="981"/>
      <c r="I52" s="981"/>
      <c r="J52" s="272">
        <v>41</v>
      </c>
    </row>
    <row r="53" spans="1:12">
      <c r="A53" s="233"/>
      <c r="B53" s="513" t="s">
        <v>70</v>
      </c>
      <c r="D53" s="981" t="s">
        <v>71</v>
      </c>
      <c r="E53" s="981"/>
      <c r="F53" s="981"/>
      <c r="G53" s="981"/>
      <c r="H53" s="981"/>
      <c r="I53" s="981"/>
      <c r="J53" s="272">
        <v>42</v>
      </c>
      <c r="L53" s="236" t="s">
        <v>103</v>
      </c>
    </row>
    <row r="54" spans="1:12">
      <c r="A54" s="233"/>
      <c r="B54" s="513" t="s">
        <v>72</v>
      </c>
      <c r="D54" s="981" t="s">
        <v>73</v>
      </c>
      <c r="E54" s="981"/>
      <c r="F54" s="981"/>
      <c r="G54" s="981"/>
      <c r="H54" s="981"/>
      <c r="I54" s="981"/>
      <c r="J54" s="272">
        <v>43</v>
      </c>
    </row>
    <row r="55" spans="1:12">
      <c r="A55" s="233"/>
      <c r="B55" s="513" t="s">
        <v>74</v>
      </c>
      <c r="D55" s="981" t="s">
        <v>75</v>
      </c>
      <c r="E55" s="981"/>
      <c r="F55" s="981"/>
      <c r="G55" s="981"/>
      <c r="H55" s="981"/>
      <c r="I55" s="981"/>
      <c r="J55" s="272">
        <v>44</v>
      </c>
      <c r="K55" s="250"/>
    </row>
    <row r="56" spans="1:12">
      <c r="A56" s="233"/>
      <c r="B56" s="518" t="s">
        <v>76</v>
      </c>
      <c r="D56" s="981" t="s">
        <v>1453</v>
      </c>
      <c r="E56" s="981"/>
      <c r="F56" s="981"/>
      <c r="G56" s="981"/>
      <c r="H56" s="981"/>
      <c r="I56" s="981"/>
      <c r="J56" s="272">
        <v>45</v>
      </c>
      <c r="K56" s="243"/>
    </row>
    <row r="57" spans="1:12">
      <c r="A57" s="233"/>
      <c r="B57" s="513" t="s">
        <v>77</v>
      </c>
      <c r="D57" s="980" t="s">
        <v>78</v>
      </c>
      <c r="E57" s="980"/>
      <c r="F57" s="980"/>
      <c r="G57" s="980"/>
      <c r="H57" s="980"/>
      <c r="I57" s="980"/>
      <c r="J57" s="272">
        <v>46</v>
      </c>
      <c r="K57" s="243"/>
    </row>
    <row r="58" spans="1:12">
      <c r="A58" s="233"/>
      <c r="B58" s="516" t="s">
        <v>79</v>
      </c>
      <c r="D58" s="245" t="s">
        <v>80</v>
      </c>
      <c r="E58" s="245"/>
      <c r="F58" s="245"/>
      <c r="G58" s="245"/>
      <c r="H58" s="245"/>
      <c r="I58" s="245"/>
      <c r="J58" s="272">
        <v>47</v>
      </c>
      <c r="K58" s="243"/>
    </row>
    <row r="59" spans="1:12">
      <c r="A59" s="233"/>
      <c r="B59" s="517" t="s">
        <v>81</v>
      </c>
      <c r="D59" s="1095" t="s">
        <v>82</v>
      </c>
      <c r="E59" s="1095"/>
      <c r="F59" s="1095"/>
      <c r="G59" s="1095"/>
      <c r="H59" s="1095"/>
      <c r="I59" s="1095"/>
      <c r="J59" s="272">
        <v>48</v>
      </c>
      <c r="K59" s="243"/>
    </row>
    <row r="60" spans="1:12">
      <c r="A60" s="233"/>
      <c r="B60" s="517" t="s">
        <v>83</v>
      </c>
      <c r="D60" s="1097" t="s">
        <v>84</v>
      </c>
      <c r="E60" s="1095"/>
      <c r="F60" s="1097"/>
      <c r="G60" s="1095"/>
      <c r="H60" s="1095"/>
      <c r="I60" s="1095"/>
      <c r="J60" s="272">
        <v>49</v>
      </c>
      <c r="K60" s="243"/>
    </row>
    <row r="61" spans="1:12">
      <c r="A61" s="233"/>
      <c r="B61" s="517" t="s">
        <v>85</v>
      </c>
      <c r="D61" s="1095" t="s">
        <v>86</v>
      </c>
      <c r="E61" s="1095"/>
      <c r="F61" s="1095"/>
      <c r="G61" s="1095"/>
      <c r="H61" s="1095"/>
      <c r="I61" s="1095"/>
      <c r="J61" s="272">
        <v>50</v>
      </c>
    </row>
    <row r="62" spans="1:12">
      <c r="A62" s="233"/>
      <c r="B62" s="580" t="s">
        <v>87</v>
      </c>
      <c r="D62" s="1095" t="s">
        <v>88</v>
      </c>
      <c r="E62" s="1095"/>
      <c r="F62" s="1095"/>
      <c r="G62" s="1095"/>
      <c r="H62" s="1096"/>
      <c r="I62" s="1095"/>
      <c r="J62" s="272">
        <v>51</v>
      </c>
    </row>
    <row r="63" spans="1:12">
      <c r="A63" s="233"/>
      <c r="B63" s="580" t="s">
        <v>89</v>
      </c>
      <c r="D63" s="1095" t="s">
        <v>90</v>
      </c>
      <c r="E63" s="1095"/>
      <c r="F63" s="1095"/>
      <c r="G63" s="1095"/>
      <c r="H63" s="1096"/>
      <c r="I63" s="1095"/>
      <c r="J63" s="272">
        <v>53</v>
      </c>
    </row>
    <row r="64" spans="1:12">
      <c r="A64" s="233"/>
      <c r="B64" s="518" t="s">
        <v>91</v>
      </c>
      <c r="D64" s="1095" t="s">
        <v>92</v>
      </c>
      <c r="E64" s="1095"/>
      <c r="F64" s="1095"/>
      <c r="G64" s="1095"/>
      <c r="H64" s="1096"/>
      <c r="I64" s="1095"/>
      <c r="J64" s="272">
        <v>56</v>
      </c>
    </row>
    <row r="65" spans="1:10" ht="13.35" customHeight="1">
      <c r="A65" s="233"/>
      <c r="B65" s="518" t="s">
        <v>93</v>
      </c>
      <c r="D65" s="1095" t="s">
        <v>94</v>
      </c>
      <c r="E65" s="1095"/>
      <c r="F65" s="1095"/>
      <c r="G65" s="1095"/>
      <c r="H65" s="1096"/>
      <c r="I65" s="1095"/>
      <c r="J65" s="272">
        <v>57</v>
      </c>
    </row>
    <row r="66" spans="1:10" ht="13.35" customHeight="1">
      <c r="A66" s="233"/>
      <c r="B66" s="518" t="s">
        <v>95</v>
      </c>
      <c r="D66" s="1095" t="s">
        <v>96</v>
      </c>
      <c r="E66" s="1095"/>
      <c r="F66" s="1095"/>
      <c r="G66" s="1095"/>
      <c r="H66" s="1096"/>
      <c r="I66" s="1095"/>
      <c r="J66" s="272">
        <v>58</v>
      </c>
    </row>
    <row r="67" spans="1:10" ht="13.35" customHeight="1">
      <c r="A67" s="233"/>
      <c r="B67" s="251"/>
      <c r="D67" s="246"/>
      <c r="E67" s="246"/>
      <c r="F67" s="246"/>
      <c r="G67" s="246"/>
      <c r="H67" s="246"/>
      <c r="I67" s="246"/>
      <c r="J67" s="247"/>
    </row>
    <row r="68" spans="1:10" ht="13.35" customHeight="1">
      <c r="A68" s="233"/>
      <c r="B68" s="251"/>
      <c r="D68" s="246"/>
      <c r="E68" s="246"/>
      <c r="F68" s="246"/>
      <c r="G68" s="246"/>
      <c r="H68" s="246"/>
      <c r="I68" s="246"/>
      <c r="J68" s="247"/>
    </row>
    <row r="69" spans="1:10" ht="13.35" customHeight="1">
      <c r="A69" s="233"/>
      <c r="B69" s="251"/>
      <c r="D69" s="246"/>
      <c r="E69" s="246"/>
      <c r="F69" s="246"/>
      <c r="G69" s="246"/>
      <c r="H69" s="246"/>
      <c r="I69" s="246"/>
      <c r="J69" s="247"/>
    </row>
    <row r="70" spans="1:10" ht="13.35" customHeight="1">
      <c r="A70" s="233"/>
      <c r="B70" s="251"/>
      <c r="D70" s="246"/>
      <c r="E70" s="246"/>
      <c r="F70" s="246"/>
      <c r="G70" s="246"/>
      <c r="H70" s="246"/>
      <c r="I70" s="246"/>
      <c r="J70" s="247"/>
    </row>
    <row r="71" spans="1:10" ht="13.35" customHeight="1">
      <c r="A71" s="233"/>
      <c r="B71" s="251"/>
      <c r="D71" s="246"/>
      <c r="E71" s="246"/>
      <c r="F71" s="246"/>
      <c r="G71" s="246"/>
      <c r="H71" s="246"/>
      <c r="I71" s="246"/>
      <c r="J71" s="247"/>
    </row>
    <row r="72" spans="1:10" ht="13.35" customHeight="1">
      <c r="A72" s="233"/>
      <c r="B72" s="251"/>
      <c r="D72" s="246"/>
      <c r="E72" s="246"/>
      <c r="F72" s="246"/>
      <c r="G72" s="246"/>
      <c r="H72" s="246"/>
      <c r="I72" s="246"/>
      <c r="J72" s="247"/>
    </row>
    <row r="73" spans="1:10" ht="13.35" customHeight="1">
      <c r="A73" s="233"/>
      <c r="B73" s="251"/>
      <c r="D73" s="246"/>
      <c r="E73" s="246"/>
      <c r="F73" s="246"/>
      <c r="G73" s="246"/>
      <c r="H73" s="246"/>
      <c r="I73" s="246"/>
      <c r="J73" s="247"/>
    </row>
    <row r="74" spans="1:10" ht="13.35" customHeight="1">
      <c r="A74" s="233"/>
      <c r="B74" s="251"/>
      <c r="D74" s="246"/>
      <c r="E74" s="246"/>
      <c r="F74" s="246"/>
      <c r="G74" s="246"/>
      <c r="H74" s="246"/>
      <c r="I74" s="246"/>
      <c r="J74" s="247"/>
    </row>
    <row r="75" spans="1:10" ht="13.35" customHeight="1">
      <c r="A75" s="233"/>
      <c r="B75" s="251"/>
      <c r="D75" s="246"/>
      <c r="E75" s="246"/>
      <c r="F75" s="246"/>
      <c r="G75" s="246"/>
      <c r="H75" s="246"/>
      <c r="I75" s="246"/>
      <c r="J75" s="247"/>
    </row>
    <row r="76" spans="1:10" ht="13.35" customHeight="1">
      <c r="A76" s="233"/>
      <c r="B76" s="251"/>
      <c r="D76" s="246"/>
      <c r="E76" s="246"/>
      <c r="F76" s="246"/>
      <c r="G76" s="246"/>
      <c r="H76" s="246"/>
      <c r="I76" s="246"/>
      <c r="J76" s="247"/>
    </row>
    <row r="77" spans="1:10" ht="13.35" customHeight="1">
      <c r="A77" s="233"/>
      <c r="B77" s="251"/>
      <c r="D77" s="246"/>
      <c r="E77" s="246"/>
      <c r="F77" s="246"/>
      <c r="G77" s="246"/>
      <c r="H77" s="246"/>
      <c r="I77" s="246"/>
      <c r="J77" s="247"/>
    </row>
    <row r="78" spans="1:10" ht="13.35" customHeight="1">
      <c r="A78" s="233"/>
      <c r="B78" s="251"/>
      <c r="D78" s="246"/>
      <c r="E78" s="246"/>
      <c r="F78" s="246"/>
      <c r="G78" s="246"/>
      <c r="H78" s="246"/>
      <c r="I78" s="246"/>
      <c r="J78" s="247"/>
    </row>
    <row r="79" spans="1:10" ht="13.35" customHeight="1">
      <c r="A79" s="233"/>
      <c r="B79" s="251"/>
      <c r="D79" s="246"/>
      <c r="E79" s="246"/>
      <c r="F79" s="246"/>
      <c r="G79" s="246"/>
      <c r="H79" s="246"/>
      <c r="I79" s="246"/>
      <c r="J79" s="247"/>
    </row>
    <row r="80" spans="1:10" ht="13.35" customHeight="1">
      <c r="A80" s="233"/>
      <c r="B80" s="251"/>
      <c r="D80" s="246"/>
      <c r="E80" s="246"/>
      <c r="F80" s="246"/>
      <c r="G80" s="246"/>
      <c r="H80" s="246"/>
      <c r="I80" s="246"/>
      <c r="J80" s="247"/>
    </row>
    <row r="81" spans="1:10" ht="13.35" customHeight="1">
      <c r="A81" s="233"/>
      <c r="B81" s="251"/>
      <c r="D81" s="246"/>
      <c r="E81" s="246"/>
      <c r="F81" s="246"/>
      <c r="G81" s="246"/>
      <c r="H81" s="246"/>
      <c r="I81" s="246"/>
      <c r="J81" s="247"/>
    </row>
    <row r="82" spans="1:10" ht="13.35" customHeight="1">
      <c r="A82" s="233"/>
      <c r="B82" s="251"/>
      <c r="D82" s="246"/>
      <c r="E82" s="246"/>
      <c r="F82" s="246"/>
      <c r="G82" s="246"/>
      <c r="H82" s="246"/>
      <c r="I82" s="246"/>
      <c r="J82" s="247"/>
    </row>
    <row r="83" spans="1:10" ht="13.35" customHeight="1">
      <c r="A83" s="233"/>
      <c r="B83" s="251"/>
      <c r="D83" s="246"/>
      <c r="E83" s="246"/>
      <c r="F83" s="246"/>
      <c r="G83" s="246"/>
      <c r="H83" s="246"/>
      <c r="I83" s="246"/>
      <c r="J83" s="247"/>
    </row>
    <row r="84" spans="1:10" ht="13.35" customHeight="1">
      <c r="A84" s="233"/>
      <c r="B84" s="251"/>
      <c r="D84" s="246"/>
      <c r="E84" s="246"/>
      <c r="F84" s="246"/>
      <c r="G84" s="246"/>
      <c r="H84" s="246"/>
      <c r="I84" s="246"/>
      <c r="J84" s="247"/>
    </row>
    <row r="85" spans="1:10" ht="13.35" customHeight="1">
      <c r="A85" s="233"/>
      <c r="B85" s="251"/>
      <c r="D85" s="246"/>
      <c r="E85" s="246"/>
      <c r="F85" s="246"/>
      <c r="G85" s="246"/>
      <c r="H85" s="246"/>
      <c r="I85" s="246"/>
      <c r="J85" s="247"/>
    </row>
    <row r="86" spans="1:10" ht="13.35" customHeight="1">
      <c r="A86" s="233"/>
      <c r="B86" s="251"/>
      <c r="D86" s="246"/>
      <c r="E86" s="246"/>
      <c r="F86" s="246"/>
      <c r="G86" s="246"/>
      <c r="H86" s="246"/>
      <c r="I86" s="246"/>
      <c r="J86" s="247"/>
    </row>
    <row r="87" spans="1:10" ht="13.35" customHeight="1">
      <c r="A87" s="233"/>
      <c r="B87" s="251"/>
      <c r="D87" s="246"/>
      <c r="E87" s="246"/>
      <c r="F87" s="246"/>
      <c r="G87" s="246"/>
      <c r="H87" s="246"/>
      <c r="I87" s="246"/>
      <c r="J87" s="247"/>
    </row>
    <row r="88" spans="1:10" ht="13.35" customHeight="1">
      <c r="A88" s="233"/>
      <c r="B88" s="251"/>
      <c r="D88" s="246"/>
      <c r="E88" s="246"/>
      <c r="F88" s="246"/>
      <c r="G88" s="246"/>
      <c r="H88" s="246"/>
      <c r="I88" s="246"/>
      <c r="J88" s="247"/>
    </row>
    <row r="89" spans="1:10" ht="13.35" customHeight="1">
      <c r="A89" s="233"/>
      <c r="B89" s="251"/>
      <c r="D89" s="246"/>
      <c r="E89" s="246"/>
      <c r="F89" s="246"/>
      <c r="G89" s="246"/>
      <c r="H89" s="246"/>
      <c r="I89" s="246"/>
      <c r="J89" s="247"/>
    </row>
    <row r="90" spans="1:10" ht="13.35" customHeight="1">
      <c r="A90" s="233"/>
      <c r="B90" s="251"/>
      <c r="D90" s="246"/>
      <c r="E90" s="246"/>
      <c r="F90" s="246"/>
      <c r="G90" s="246"/>
      <c r="H90" s="246"/>
      <c r="I90" s="246"/>
      <c r="J90" s="247"/>
    </row>
    <row r="91" spans="1:10" ht="13.35" customHeight="1">
      <c r="A91" s="233"/>
      <c r="B91" s="251"/>
      <c r="D91" s="246"/>
      <c r="E91" s="246"/>
      <c r="F91" s="246"/>
      <c r="G91" s="246"/>
      <c r="H91" s="246"/>
      <c r="I91" s="246"/>
      <c r="J91" s="247"/>
    </row>
    <row r="92" spans="1:10" ht="13.35" customHeight="1">
      <c r="A92" s="233"/>
      <c r="B92" s="251"/>
      <c r="D92" s="246"/>
      <c r="E92" s="246"/>
      <c r="F92" s="246"/>
      <c r="G92" s="246"/>
      <c r="H92" s="246"/>
      <c r="I92" s="246"/>
      <c r="J92" s="247"/>
    </row>
    <row r="93" spans="1:10" ht="13.35" customHeight="1">
      <c r="A93" s="233"/>
      <c r="B93" s="251"/>
      <c r="D93" s="246"/>
      <c r="E93" s="246"/>
      <c r="F93" s="246"/>
      <c r="G93" s="246"/>
      <c r="H93" s="246"/>
      <c r="I93" s="246"/>
      <c r="J93" s="247"/>
    </row>
    <row r="94" spans="1:10" ht="13.35" customHeight="1">
      <c r="A94" s="233"/>
      <c r="B94" s="251"/>
      <c r="D94" s="246"/>
      <c r="E94" s="246"/>
      <c r="F94" s="246"/>
      <c r="G94" s="246"/>
      <c r="H94" s="246"/>
      <c r="I94" s="246"/>
      <c r="J94" s="247"/>
    </row>
    <row r="95" spans="1:10" ht="13.35" customHeight="1">
      <c r="A95" s="233"/>
      <c r="B95" s="251"/>
      <c r="D95" s="246"/>
      <c r="E95" s="246"/>
      <c r="F95" s="246"/>
      <c r="G95" s="246"/>
      <c r="H95" s="246"/>
      <c r="I95" s="246"/>
      <c r="J95" s="247"/>
    </row>
    <row r="96" spans="1:10" ht="13.35" customHeight="1">
      <c r="A96" s="233"/>
      <c r="B96" s="251"/>
      <c r="D96" s="246"/>
      <c r="E96" s="246"/>
      <c r="F96" s="246"/>
      <c r="G96" s="246"/>
      <c r="H96" s="246"/>
      <c r="I96" s="246"/>
      <c r="J96" s="247"/>
    </row>
    <row r="97" spans="1:10" ht="13.35" customHeight="1">
      <c r="A97" s="233"/>
      <c r="B97" s="251"/>
      <c r="D97" s="246"/>
      <c r="E97" s="246"/>
      <c r="F97" s="246"/>
      <c r="G97" s="246"/>
      <c r="H97" s="246"/>
      <c r="I97" s="246"/>
      <c r="J97" s="247"/>
    </row>
    <row r="98" spans="1:10" ht="13.35" customHeight="1">
      <c r="A98" s="233"/>
      <c r="B98" s="251"/>
      <c r="D98" s="246"/>
      <c r="E98" s="246"/>
      <c r="F98" s="246"/>
      <c r="G98" s="246"/>
      <c r="H98" s="246"/>
      <c r="I98" s="246"/>
      <c r="J98" s="247"/>
    </row>
    <row r="99" spans="1:10" ht="13.35" customHeight="1">
      <c r="A99" s="233"/>
      <c r="B99" s="251"/>
      <c r="D99" s="246"/>
      <c r="E99" s="246"/>
      <c r="F99" s="246"/>
      <c r="G99" s="246"/>
      <c r="H99" s="246"/>
      <c r="I99" s="246"/>
      <c r="J99" s="247"/>
    </row>
    <row r="100" spans="1:10" ht="13.35" customHeight="1">
      <c r="A100" s="233"/>
      <c r="B100" s="251"/>
      <c r="D100" s="246"/>
      <c r="E100" s="246"/>
      <c r="F100" s="246"/>
      <c r="G100" s="246"/>
      <c r="H100" s="246"/>
      <c r="I100" s="246"/>
      <c r="J100" s="247"/>
    </row>
    <row r="101" spans="1:10">
      <c r="B101" s="251"/>
      <c r="J101" s="252"/>
    </row>
    <row r="102" spans="1:10">
      <c r="B102" s="251"/>
      <c r="J102" s="252"/>
    </row>
    <row r="103" spans="1:10">
      <c r="B103" s="251"/>
      <c r="J103" s="252"/>
    </row>
    <row r="104" spans="1:10">
      <c r="B104" s="251"/>
    </row>
    <row r="105" spans="1:10">
      <c r="B105" s="251"/>
    </row>
    <row r="106" spans="1:10">
      <c r="B106" s="251"/>
    </row>
    <row r="107" spans="1:10">
      <c r="B107" s="251"/>
    </row>
    <row r="108" spans="1:10">
      <c r="B108" s="251"/>
    </row>
    <row r="109" spans="1:10">
      <c r="B109" s="251"/>
    </row>
  </sheetData>
  <customSheetViews>
    <customSheetView guid="{83D69B98-1714-4D17-901F-87B47BE66947}" showGridLines="0" printArea="1">
      <selection activeCell="J65" sqref="J65"/>
      <rowBreaks count="3" manualBreakCount="3">
        <brk id="103" max="9" man="1"/>
        <brk id="116" max="9" man="1"/>
        <brk id="130" max="10" man="1"/>
      </rowBreaks>
      <pageMargins left="1" right="0.5" top="0.45" bottom="0.35" header="0" footer="0"/>
      <printOptions horizontalCentered="1"/>
      <pageSetup scale="62" orientation="landscape" r:id="rId1"/>
      <headerFooter alignWithMargins="0"/>
    </customSheetView>
    <customSheetView guid="{F9AE1502-86F7-4AAA-AE66-F6A75A634C1B}"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2"/>
      <headerFooter alignWithMargins="0"/>
    </customSheetView>
    <customSheetView guid="{C41E3923-0A88-49D0-AE43-0E74D386A056}"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3"/>
      <headerFooter alignWithMargins="0"/>
    </customSheetView>
    <customSheetView guid="{1DF171D7-3BFC-49F6-B708-0F91FCFAB6E2}"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4"/>
      <headerFooter alignWithMargins="0"/>
    </customSheetView>
    <customSheetView guid="{9F00D83C-7F4F-41B5-9976-8610D9EBC976}"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5"/>
      <headerFooter alignWithMargins="0"/>
    </customSheetView>
    <customSheetView guid="{D1467C25-646C-4F1A-9353-0E890E575522}" showGridLines="0" printArea="1" topLeftCell="A6">
      <selection activeCell="O18" sqref="O18"/>
      <rowBreaks count="3" manualBreakCount="3">
        <brk id="103" max="9" man="1"/>
        <brk id="116" max="9" man="1"/>
        <brk id="130" max="10" man="1"/>
      </rowBreaks>
      <pageMargins left="1" right="0.5" top="0.45" bottom="0.35" header="0" footer="0"/>
      <printOptions horizontalCentered="1"/>
      <pageSetup scale="62" orientation="landscape" r:id="rId6"/>
      <headerFooter alignWithMargins="0"/>
    </customSheetView>
    <customSheetView guid="{3A50DD26-AAF5-43D4-97DE-BAE3367A2F29}"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7"/>
      <headerFooter alignWithMargins="0"/>
    </customSheetView>
    <customSheetView guid="{C3636880-B45B-4897-94F2-F91976416934}" showGridLines="0" printArea="1" topLeftCell="A6">
      <selection activeCell="D20" sqref="D20"/>
      <rowBreaks count="3" manualBreakCount="3">
        <brk id="103" max="9" man="1"/>
        <brk id="116" max="9" man="1"/>
        <brk id="130" max="10" man="1"/>
      </rowBreaks>
      <pageMargins left="1" right="0.5" top="0.45" bottom="0.35" header="0" footer="0"/>
      <printOptions horizontalCentered="1"/>
      <pageSetup scale="62" orientation="landscape" r:id="rId8"/>
      <headerFooter alignWithMargins="0"/>
    </customSheetView>
  </customSheetViews>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9"/>
  <headerFooter alignWithMargins="0"/>
  <rowBreaks count="3" manualBreakCount="3">
    <brk id="103" max="9" man="1"/>
    <brk id="116" max="9" man="1"/>
    <brk id="130" max="10" man="1"/>
  </rowBreaks>
  <customProperties>
    <customPr name="SheetOptions" r:id="rId10"/>
    <customPr name="WORKBKFUNCTIONCACHE" r:id="rId11"/>
  </customProperties>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Q51"/>
  <sheetViews>
    <sheetView showGridLines="0" zoomScale="90" zoomScaleNormal="90" workbookViewId="0"/>
  </sheetViews>
  <sheetFormatPr defaultColWidth="8.88671875" defaultRowHeight="15"/>
  <cols>
    <col min="1" max="1" width="50.109375" style="291" customWidth="1"/>
    <col min="2" max="2" width="3.88671875" style="256" customWidth="1"/>
    <col min="3" max="3" width="16.88671875" style="256" customWidth="1"/>
    <col min="4" max="4" width="1.5546875" style="256" customWidth="1"/>
    <col min="5" max="5" width="16.44140625" style="128" customWidth="1"/>
    <col min="6" max="6" width="1.5546875" style="256" customWidth="1"/>
    <col min="7" max="7" width="14.109375" style="256" customWidth="1"/>
    <col min="8" max="8" width="1.5546875" style="256" customWidth="1"/>
    <col min="9" max="9" width="14.109375" style="256" customWidth="1"/>
    <col min="10" max="10" width="1.5546875" style="256" customWidth="1"/>
    <col min="11" max="11" width="14.109375" style="256" customWidth="1"/>
    <col min="12" max="12" width="1.5546875" style="256" customWidth="1"/>
    <col min="13" max="13" width="16.109375" style="256" customWidth="1"/>
    <col min="14" max="14" width="1.5546875" style="256" customWidth="1"/>
    <col min="15" max="15" width="12.5546875" style="256" customWidth="1"/>
    <col min="16" max="16" width="11.44140625" style="256" customWidth="1"/>
    <col min="17" max="17" width="1.88671875" style="256" customWidth="1"/>
    <col min="18" max="16384" width="8.88671875" style="291"/>
  </cols>
  <sheetData>
    <row r="1" spans="1:17">
      <c r="A1" s="265" t="s">
        <v>97</v>
      </c>
      <c r="B1" s="48"/>
      <c r="C1" s="48"/>
      <c r="D1" s="48"/>
      <c r="E1" s="124"/>
      <c r="F1" s="48"/>
      <c r="G1" s="48"/>
      <c r="H1" s="48"/>
      <c r="I1" s="48"/>
      <c r="J1" s="48"/>
      <c r="K1" s="48"/>
      <c r="L1" s="48"/>
      <c r="M1" s="48"/>
      <c r="N1" s="48"/>
      <c r="O1" s="48"/>
      <c r="P1" s="48"/>
      <c r="Q1" s="48"/>
    </row>
    <row r="2" spans="1:17" ht="17.25" customHeight="1">
      <c r="A2" s="49"/>
      <c r="B2" s="48"/>
      <c r="C2" s="48"/>
      <c r="D2" s="48"/>
      <c r="E2" s="124"/>
      <c r="F2" s="48"/>
      <c r="G2" s="48"/>
      <c r="H2" s="48"/>
      <c r="I2" s="48"/>
      <c r="J2" s="48"/>
      <c r="K2" s="48"/>
      <c r="L2" s="48"/>
      <c r="M2" s="48"/>
      <c r="N2" s="48"/>
      <c r="O2" s="48"/>
      <c r="P2" s="48"/>
      <c r="Q2" s="48"/>
    </row>
    <row r="3" spans="1:17" ht="18" customHeight="1">
      <c r="A3" s="50" t="s">
        <v>98</v>
      </c>
      <c r="B3" s="30"/>
      <c r="C3" s="30"/>
      <c r="D3" s="30"/>
      <c r="E3" s="125"/>
      <c r="F3" s="30"/>
      <c r="G3" s="30"/>
      <c r="H3" s="30"/>
      <c r="I3" s="30"/>
      <c r="J3" s="30"/>
      <c r="K3" s="30"/>
      <c r="L3" s="30"/>
      <c r="M3" s="352"/>
      <c r="N3" s="30"/>
      <c r="O3" s="352" t="s">
        <v>224</v>
      </c>
      <c r="P3" s="30"/>
      <c r="Q3" s="30"/>
    </row>
    <row r="4" spans="1:17" ht="18" customHeight="1">
      <c r="A4" s="50" t="s">
        <v>225</v>
      </c>
      <c r="B4" s="30"/>
      <c r="C4" s="30"/>
      <c r="D4" s="30"/>
      <c r="E4" s="125"/>
      <c r="F4" s="30"/>
      <c r="G4" s="30"/>
      <c r="H4" s="30"/>
      <c r="I4" s="30"/>
      <c r="J4" s="30"/>
      <c r="K4" s="30"/>
      <c r="L4" s="30"/>
      <c r="M4" s="353"/>
      <c r="N4" s="30"/>
      <c r="O4" s="353"/>
      <c r="P4" s="30"/>
      <c r="Q4" s="30"/>
    </row>
    <row r="5" spans="1:17" ht="18" customHeight="1">
      <c r="A5" s="65" t="str">
        <f>'Exh D Governmental  '!A5</f>
        <v>FISCAL YEAR 2026-2027</v>
      </c>
      <c r="B5" s="23"/>
      <c r="C5" s="23"/>
      <c r="D5" s="23"/>
      <c r="E5" s="23"/>
      <c r="F5" s="30"/>
      <c r="G5" s="30"/>
      <c r="H5" s="30"/>
      <c r="I5" s="30"/>
      <c r="J5" s="30"/>
      <c r="K5" s="30"/>
      <c r="L5" s="30"/>
      <c r="M5" s="30"/>
      <c r="N5" s="30"/>
      <c r="O5" s="30"/>
      <c r="P5" s="30"/>
      <c r="Q5" s="30"/>
    </row>
    <row r="6" spans="1:17" ht="18" customHeight="1">
      <c r="A6" s="50" t="str">
        <f>+'Exh D Governmental  '!A6</f>
        <v>FOR THREE MONTHS ENDED JUNE 30, 2026</v>
      </c>
      <c r="B6" s="30"/>
      <c r="C6" s="30"/>
      <c r="D6" s="30"/>
      <c r="E6" s="125"/>
      <c r="F6" s="30"/>
      <c r="G6" s="30"/>
      <c r="H6" s="30"/>
      <c r="I6" s="30"/>
      <c r="J6" s="30"/>
      <c r="K6" s="30"/>
      <c r="L6" s="30"/>
      <c r="M6" s="30"/>
      <c r="N6" s="30"/>
      <c r="O6" s="30"/>
      <c r="P6" s="30"/>
      <c r="Q6" s="30"/>
    </row>
    <row r="7" spans="1:17" ht="18" customHeight="1">
      <c r="A7" s="50" t="s">
        <v>226</v>
      </c>
      <c r="B7" s="30"/>
      <c r="C7" s="30"/>
      <c r="D7" s="30"/>
      <c r="E7" s="125"/>
      <c r="F7" s="30"/>
      <c r="G7" s="30"/>
      <c r="H7" s="30"/>
      <c r="I7" s="30"/>
      <c r="J7" s="30"/>
      <c r="K7" s="30"/>
      <c r="L7" s="30"/>
      <c r="M7" s="30"/>
      <c r="N7" s="30"/>
      <c r="O7" s="30"/>
      <c r="P7" s="30"/>
      <c r="Q7" s="30"/>
    </row>
    <row r="8" spans="1:17" ht="15" customHeight="1">
      <c r="A8" s="34"/>
      <c r="B8" s="30"/>
      <c r="C8" s="30"/>
      <c r="D8" s="30"/>
      <c r="E8" s="125"/>
      <c r="F8" s="30"/>
      <c r="G8" s="30"/>
      <c r="H8" s="30"/>
      <c r="I8" s="30"/>
      <c r="J8" s="30"/>
      <c r="K8" s="30"/>
      <c r="L8" s="30"/>
      <c r="M8" s="30"/>
      <c r="N8" s="30"/>
      <c r="O8" s="30"/>
      <c r="P8" s="30"/>
      <c r="Q8" s="30"/>
    </row>
    <row r="9" spans="1:17">
      <c r="A9" s="35"/>
      <c r="B9" s="30"/>
      <c r="C9" s="30"/>
      <c r="D9" s="30"/>
      <c r="E9" s="125"/>
      <c r="F9" s="30"/>
      <c r="G9" s="30"/>
      <c r="H9" s="30"/>
      <c r="I9" s="30"/>
      <c r="J9" s="30"/>
      <c r="K9" s="30"/>
      <c r="L9" s="30"/>
      <c r="M9" s="30"/>
      <c r="N9" s="30"/>
      <c r="O9" s="30"/>
      <c r="P9" s="30"/>
      <c r="Q9" s="30"/>
    </row>
    <row r="10" spans="1:17">
      <c r="A10" s="35"/>
      <c r="B10" s="30"/>
      <c r="C10" s="30"/>
      <c r="D10" s="30"/>
      <c r="E10" s="125"/>
      <c r="F10" s="30"/>
      <c r="G10" s="30"/>
      <c r="H10" s="30"/>
      <c r="I10" s="30"/>
      <c r="J10" s="30"/>
      <c r="K10" s="30"/>
      <c r="L10" s="30"/>
      <c r="M10" s="30"/>
      <c r="N10" s="30"/>
      <c r="O10" s="30"/>
      <c r="P10" s="30"/>
      <c r="Q10" s="30"/>
    </row>
    <row r="11" spans="1:17" ht="15.75">
      <c r="C11" s="1006"/>
      <c r="D11" s="1006"/>
      <c r="E11" s="1217"/>
      <c r="F11" s="1006"/>
      <c r="G11" s="1217" t="s">
        <v>274</v>
      </c>
      <c r="H11" s="1006"/>
      <c r="I11" s="1217"/>
      <c r="J11" s="1006"/>
      <c r="K11" s="1217"/>
      <c r="L11" s="1006"/>
      <c r="M11" s="1217"/>
      <c r="N11" s="1006"/>
      <c r="O11" s="427"/>
      <c r="P11" s="51"/>
      <c r="Q11" s="51"/>
    </row>
    <row r="12" spans="1:17" ht="15.75">
      <c r="G12" s="53"/>
      <c r="I12" s="53"/>
      <c r="K12" s="53"/>
      <c r="M12" s="52" t="s">
        <v>228</v>
      </c>
      <c r="O12" s="52" t="s">
        <v>228</v>
      </c>
      <c r="P12" s="51"/>
      <c r="Q12" s="51"/>
    </row>
    <row r="13" spans="1:17" ht="15.75">
      <c r="G13" s="53"/>
      <c r="I13" s="53"/>
      <c r="K13" s="53"/>
      <c r="M13" s="37" t="s">
        <v>229</v>
      </c>
      <c r="O13" s="37" t="s">
        <v>229</v>
      </c>
      <c r="P13" s="51"/>
      <c r="Q13" s="51"/>
    </row>
    <row r="14" spans="1:17" ht="15.75">
      <c r="B14" s="36"/>
      <c r="C14" s="38" t="s">
        <v>231</v>
      </c>
      <c r="D14" s="36"/>
      <c r="E14" s="37" t="s">
        <v>232</v>
      </c>
      <c r="F14" s="36"/>
      <c r="G14" s="36"/>
      <c r="H14" s="36"/>
      <c r="I14" s="36"/>
      <c r="J14" s="36"/>
      <c r="K14" s="36"/>
      <c r="L14" s="36"/>
      <c r="M14" s="37" t="s">
        <v>233</v>
      </c>
      <c r="N14" s="36"/>
      <c r="O14" s="37" t="s">
        <v>233</v>
      </c>
      <c r="P14" s="36"/>
      <c r="Q14" s="36"/>
    </row>
    <row r="15" spans="1:17" ht="15.75">
      <c r="B15" s="54"/>
      <c r="C15" s="37" t="s">
        <v>234</v>
      </c>
      <c r="D15" s="1328"/>
      <c r="E15" s="37" t="s">
        <v>234</v>
      </c>
      <c r="F15" s="1328"/>
      <c r="G15" s="36"/>
      <c r="H15" s="1328"/>
      <c r="I15" s="36"/>
      <c r="J15" s="1328"/>
      <c r="K15" s="36"/>
      <c r="L15" s="1328"/>
      <c r="M15" s="37" t="s">
        <v>231</v>
      </c>
      <c r="N15" s="1328"/>
      <c r="O15" s="37" t="s">
        <v>232</v>
      </c>
      <c r="P15" s="37"/>
      <c r="Q15" s="36"/>
    </row>
    <row r="16" spans="1:17" ht="15.75">
      <c r="B16" s="37"/>
      <c r="C16" s="430" t="s">
        <v>235</v>
      </c>
      <c r="D16" s="36"/>
      <c r="E16" s="37" t="s">
        <v>1491</v>
      </c>
      <c r="F16" s="36"/>
      <c r="G16" s="38" t="s">
        <v>228</v>
      </c>
      <c r="H16" s="36"/>
      <c r="I16" s="583" t="s">
        <v>275</v>
      </c>
      <c r="J16" s="36"/>
      <c r="K16" s="583" t="s">
        <v>276</v>
      </c>
      <c r="L16" s="36"/>
      <c r="M16" s="37" t="s">
        <v>236</v>
      </c>
      <c r="N16" s="36"/>
      <c r="O16" s="430" t="s">
        <v>236</v>
      </c>
      <c r="P16" s="37"/>
      <c r="Q16" s="36"/>
    </row>
    <row r="17" spans="1:17">
      <c r="A17" s="39"/>
      <c r="B17" s="30"/>
      <c r="C17" s="30"/>
      <c r="D17" s="30"/>
      <c r="E17" s="1005"/>
      <c r="F17" s="30"/>
      <c r="G17" s="1005"/>
      <c r="H17" s="30"/>
      <c r="I17" s="30"/>
      <c r="J17" s="30"/>
      <c r="K17" s="30"/>
      <c r="L17" s="30"/>
      <c r="M17" s="1005"/>
      <c r="N17" s="30"/>
      <c r="O17" s="30"/>
      <c r="P17" s="30"/>
      <c r="Q17" s="30"/>
    </row>
    <row r="18" spans="1:17" ht="15.75">
      <c r="A18" s="3" t="s">
        <v>114</v>
      </c>
      <c r="E18" s="256"/>
      <c r="P18" s="30"/>
      <c r="Q18" s="30"/>
    </row>
    <row r="19" spans="1:17">
      <c r="A19" s="350" t="s">
        <v>237</v>
      </c>
      <c r="B19" s="378"/>
      <c r="C19" s="378"/>
      <c r="D19" s="378"/>
      <c r="E19" s="256"/>
      <c r="F19" s="378"/>
      <c r="H19" s="378"/>
      <c r="J19" s="378"/>
      <c r="L19" s="378"/>
      <c r="N19" s="378"/>
      <c r="O19" s="555"/>
    </row>
    <row r="20" spans="1:17">
      <c r="A20" s="350" t="s">
        <v>238</v>
      </c>
      <c r="B20" s="378"/>
      <c r="C20" s="277">
        <v>0</v>
      </c>
      <c r="D20" s="276"/>
      <c r="E20" s="277">
        <v>0</v>
      </c>
      <c r="F20" s="378"/>
      <c r="G20" s="387">
        <f>+'Exh D Special Revenue State Fed'!G20</f>
        <v>0</v>
      </c>
      <c r="H20" s="378"/>
      <c r="I20" s="387">
        <v>0</v>
      </c>
      <c r="J20" s="378"/>
      <c r="K20" s="387">
        <f t="shared" ref="K20:K25" si="0">+G20+I20</f>
        <v>0</v>
      </c>
      <c r="L20" s="378"/>
      <c r="M20" s="274">
        <f>K20-C20</f>
        <v>0</v>
      </c>
      <c r="N20" s="378"/>
      <c r="O20" s="274">
        <v>0</v>
      </c>
      <c r="P20" s="1492"/>
      <c r="Q20" s="1492"/>
    </row>
    <row r="21" spans="1:17">
      <c r="A21" s="350" t="s">
        <v>239</v>
      </c>
      <c r="C21" s="275">
        <v>624</v>
      </c>
      <c r="D21" s="1790"/>
      <c r="E21" s="275">
        <v>0</v>
      </c>
      <c r="G21" s="264">
        <f>+'Exh D Special Revenue State Fed'!G21</f>
        <v>650.4</v>
      </c>
      <c r="I21" s="264">
        <v>0</v>
      </c>
      <c r="K21" s="264">
        <f t="shared" si="0"/>
        <v>650.4</v>
      </c>
      <c r="M21" s="264">
        <f t="shared" ref="M21:M25" si="1">K21-C21</f>
        <v>26.399999999999977</v>
      </c>
      <c r="O21" s="264">
        <v>0</v>
      </c>
      <c r="P21" s="1492"/>
      <c r="Q21" s="1492"/>
    </row>
    <row r="22" spans="1:17">
      <c r="A22" s="350" t="s">
        <v>240</v>
      </c>
      <c r="B22" s="378"/>
      <c r="C22" s="275">
        <v>855</v>
      </c>
      <c r="D22" s="367"/>
      <c r="E22" s="275">
        <v>0</v>
      </c>
      <c r="F22" s="378"/>
      <c r="G22" s="264">
        <f>+'Exh D Special Revenue State Fed'!G22</f>
        <v>1053.2</v>
      </c>
      <c r="H22" s="378"/>
      <c r="I22" s="264">
        <v>0</v>
      </c>
      <c r="J22" s="378"/>
      <c r="K22" s="264">
        <f t="shared" si="0"/>
        <v>1053.2</v>
      </c>
      <c r="L22" s="378"/>
      <c r="M22" s="264">
        <f t="shared" si="1"/>
        <v>198.20000000000005</v>
      </c>
      <c r="N22" s="378"/>
      <c r="O22" s="264">
        <v>0</v>
      </c>
      <c r="P22" s="1492"/>
      <c r="Q22" s="1492"/>
    </row>
    <row r="23" spans="1:17" ht="15" customHeight="1">
      <c r="A23" s="350" t="s">
        <v>119</v>
      </c>
      <c r="C23" s="275">
        <v>7018</v>
      </c>
      <c r="D23" s="1791"/>
      <c r="E23" s="275">
        <v>0</v>
      </c>
      <c r="G23" s="264">
        <f>+'Exh D Special Revenue State Fed'!G23+'Exh D Special Revenue State Fed'!S23</f>
        <v>7129.4</v>
      </c>
      <c r="I23" s="264">
        <v>0</v>
      </c>
      <c r="K23" s="264">
        <f t="shared" si="0"/>
        <v>7129.4</v>
      </c>
      <c r="M23" s="264">
        <f t="shared" si="1"/>
        <v>111.39999999999964</v>
      </c>
      <c r="O23" s="264">
        <v>0</v>
      </c>
      <c r="P23" s="1492"/>
      <c r="Q23" s="1512"/>
    </row>
    <row r="24" spans="1:17" ht="15" customHeight="1">
      <c r="A24" s="350" t="s">
        <v>120</v>
      </c>
      <c r="C24" s="275">
        <v>26982</v>
      </c>
      <c r="D24" s="1790"/>
      <c r="E24" s="275">
        <v>0</v>
      </c>
      <c r="G24" s="264">
        <f>+'Exh D Special Revenue State Fed'!G24+'Exh D Special Revenue State Fed'!S24</f>
        <v>29525.8</v>
      </c>
      <c r="I24" s="264">
        <v>0</v>
      </c>
      <c r="K24" s="264">
        <f t="shared" si="0"/>
        <v>29525.8</v>
      </c>
      <c r="M24" s="264">
        <f t="shared" si="1"/>
        <v>2543.7999999999993</v>
      </c>
      <c r="O24" s="264">
        <v>0</v>
      </c>
      <c r="P24" s="1492"/>
      <c r="Q24" s="1492"/>
    </row>
    <row r="25" spans="1:17">
      <c r="A25" s="350" t="s">
        <v>277</v>
      </c>
      <c r="B25" s="380"/>
      <c r="C25" s="835">
        <v>1443</v>
      </c>
      <c r="D25" s="1790"/>
      <c r="E25" s="835">
        <v>0</v>
      </c>
      <c r="F25" s="380"/>
      <c r="G25" s="381">
        <f>+'Exh D Special Revenue State Fed'!G25+'Exh D Special Revenue State Fed'!S25</f>
        <v>1424.8</v>
      </c>
      <c r="H25" s="380"/>
      <c r="I25" s="381">
        <f>+'Exhibit G'!AB114</f>
        <v>-123.9</v>
      </c>
      <c r="J25" s="380"/>
      <c r="K25" s="382">
        <f t="shared" si="0"/>
        <v>1300.8999999999999</v>
      </c>
      <c r="L25" s="380"/>
      <c r="M25" s="264">
        <f t="shared" si="1"/>
        <v>-142.10000000000014</v>
      </c>
      <c r="N25" s="380"/>
      <c r="O25" s="264">
        <v>0</v>
      </c>
      <c r="P25" s="1515"/>
      <c r="Q25" s="1492"/>
    </row>
    <row r="26" spans="1:17" ht="18" customHeight="1">
      <c r="A26" s="1216" t="s">
        <v>261</v>
      </c>
      <c r="B26" s="36"/>
      <c r="C26" s="357">
        <f>ROUND(SUM(C20:C25),1)</f>
        <v>36922</v>
      </c>
      <c r="D26" s="36"/>
      <c r="E26" s="357">
        <f>ROUND(SUM(E20:E25),1)</f>
        <v>0</v>
      </c>
      <c r="F26" s="36"/>
      <c r="G26" s="357">
        <f>ROUND(SUM(G20:G25),1)</f>
        <v>39783.599999999999</v>
      </c>
      <c r="H26" s="36"/>
      <c r="I26" s="357">
        <f>ROUND(SUM(I20:I25),1)</f>
        <v>-123.9</v>
      </c>
      <c r="J26" s="36"/>
      <c r="K26" s="357">
        <f>ROUND(SUM(K20:K25),1)</f>
        <v>39659.699999999997</v>
      </c>
      <c r="L26" s="36"/>
      <c r="M26" s="965">
        <f>ROUND(SUM(M20:M25),1)</f>
        <v>2737.7</v>
      </c>
      <c r="N26" s="36"/>
      <c r="O26" s="965">
        <f>ROUND(SUM(O20:O25),1)</f>
        <v>0</v>
      </c>
      <c r="P26" s="1515"/>
      <c r="Q26" s="1492"/>
    </row>
    <row r="27" spans="1:17" ht="15.75">
      <c r="C27" s="264"/>
      <c r="E27" s="264"/>
      <c r="G27" s="615"/>
      <c r="I27" s="264"/>
      <c r="K27" s="264"/>
      <c r="M27" s="615"/>
      <c r="O27" s="615"/>
      <c r="P27" s="1517"/>
      <c r="Q27" s="1517"/>
    </row>
    <row r="28" spans="1:17" ht="15.75">
      <c r="A28" s="3" t="s">
        <v>122</v>
      </c>
      <c r="C28" s="264"/>
      <c r="E28" s="264"/>
      <c r="G28" s="264"/>
      <c r="I28" s="264" t="s">
        <v>103</v>
      </c>
      <c r="K28" s="264" t="s">
        <v>103</v>
      </c>
      <c r="M28" s="264"/>
      <c r="O28" s="264"/>
      <c r="P28" s="1492"/>
      <c r="Q28" s="1492"/>
    </row>
    <row r="29" spans="1:17">
      <c r="A29" s="350" t="s">
        <v>243</v>
      </c>
      <c r="B29" s="378"/>
      <c r="C29" s="275">
        <v>28399</v>
      </c>
      <c r="D29" s="1790"/>
      <c r="E29" s="275">
        <v>0</v>
      </c>
      <c r="F29" s="378"/>
      <c r="G29" s="287">
        <f>+'Exh D Special Revenue State Fed'!G29+'Exh D Special Revenue State Fed'!S29</f>
        <v>27223.100000000002</v>
      </c>
      <c r="H29" s="378"/>
      <c r="I29" s="287">
        <v>0</v>
      </c>
      <c r="J29" s="378"/>
      <c r="K29" s="264">
        <f t="shared" ref="K29:K34" si="2">+G29+I29</f>
        <v>27223.100000000002</v>
      </c>
      <c r="L29" s="378"/>
      <c r="M29" s="264">
        <f t="shared" ref="M29:M34" si="3">K29-C29</f>
        <v>-1175.8999999999978</v>
      </c>
      <c r="N29" s="378"/>
      <c r="O29" s="264">
        <v>0</v>
      </c>
      <c r="P29" s="1492"/>
      <c r="Q29" s="1492"/>
    </row>
    <row r="30" spans="1:17">
      <c r="A30" s="350" t="s">
        <v>244</v>
      </c>
      <c r="B30" s="378"/>
      <c r="C30" s="275">
        <v>3047</v>
      </c>
      <c r="D30" s="1790"/>
      <c r="E30" s="275">
        <v>0</v>
      </c>
      <c r="F30" s="378"/>
      <c r="G30" s="287">
        <f>+'Exh D Special Revenue State Fed'!G30+'Exh D Special Revenue State Fed'!S30</f>
        <v>3119.5999999999995</v>
      </c>
      <c r="H30" s="378"/>
      <c r="I30" s="287">
        <v>0</v>
      </c>
      <c r="J30" s="378"/>
      <c r="K30" s="264">
        <f t="shared" si="2"/>
        <v>3119.5999999999995</v>
      </c>
      <c r="L30" s="378"/>
      <c r="M30" s="264">
        <f t="shared" si="3"/>
        <v>72.599999999999454</v>
      </c>
      <c r="N30" s="378"/>
      <c r="O30" s="264">
        <v>0</v>
      </c>
      <c r="P30" s="1515"/>
      <c r="Q30" s="1492"/>
    </row>
    <row r="31" spans="1:17">
      <c r="A31" s="350" t="s">
        <v>209</v>
      </c>
      <c r="B31" s="378"/>
      <c r="C31" s="275">
        <v>231</v>
      </c>
      <c r="D31" s="1790"/>
      <c r="E31" s="275">
        <v>0</v>
      </c>
      <c r="F31" s="378"/>
      <c r="G31" s="287">
        <f>+'Exh D Special Revenue State Fed'!G31+'Exh D Special Revenue State Fed'!S31</f>
        <v>416.3</v>
      </c>
      <c r="H31" s="378"/>
      <c r="I31" s="287">
        <v>0</v>
      </c>
      <c r="J31" s="378"/>
      <c r="K31" s="264">
        <f t="shared" si="2"/>
        <v>416.3</v>
      </c>
      <c r="L31" s="378"/>
      <c r="M31" s="264">
        <f t="shared" si="3"/>
        <v>185.3</v>
      </c>
      <c r="N31" s="378"/>
      <c r="O31" s="264">
        <v>0</v>
      </c>
      <c r="P31" s="1512"/>
      <c r="Q31" s="1492"/>
    </row>
    <row r="32" spans="1:17">
      <c r="A32" s="350" t="s">
        <v>245</v>
      </c>
      <c r="B32" s="378"/>
      <c r="C32" s="275">
        <v>0</v>
      </c>
      <c r="D32" s="378"/>
      <c r="E32" s="275">
        <v>0</v>
      </c>
      <c r="F32" s="378"/>
      <c r="G32" s="287">
        <f>+'Exh D Special Revenue State Fed'!G32+'Exh D Special Revenue State Fed'!S32</f>
        <v>0</v>
      </c>
      <c r="H32" s="378"/>
      <c r="I32" s="287">
        <v>0</v>
      </c>
      <c r="J32" s="378"/>
      <c r="K32" s="264">
        <f t="shared" si="2"/>
        <v>0</v>
      </c>
      <c r="L32" s="378"/>
      <c r="M32" s="264">
        <f t="shared" si="3"/>
        <v>0</v>
      </c>
      <c r="N32" s="378"/>
      <c r="O32" s="264">
        <v>0</v>
      </c>
      <c r="P32" s="1515"/>
      <c r="Q32" s="1492"/>
    </row>
    <row r="33" spans="1:17">
      <c r="A33" s="350" t="s">
        <v>140</v>
      </c>
      <c r="B33" s="378"/>
      <c r="C33" s="275">
        <v>0</v>
      </c>
      <c r="D33" s="378"/>
      <c r="E33" s="275">
        <v>0</v>
      </c>
      <c r="F33" s="378"/>
      <c r="G33" s="288">
        <f>+'Exh D Special Revenue State Fed'!G33+'Exh D Special Revenue State Fed'!S33</f>
        <v>0</v>
      </c>
      <c r="H33" s="378"/>
      <c r="I33" s="288">
        <v>0</v>
      </c>
      <c r="J33" s="378"/>
      <c r="K33" s="264">
        <f t="shared" si="2"/>
        <v>0</v>
      </c>
      <c r="L33" s="378"/>
      <c r="M33" s="264">
        <f t="shared" si="3"/>
        <v>0</v>
      </c>
      <c r="N33" s="378"/>
      <c r="O33" s="264">
        <v>0</v>
      </c>
      <c r="P33" s="1515"/>
      <c r="Q33" s="1492"/>
    </row>
    <row r="34" spans="1:17">
      <c r="A34" s="350" t="s">
        <v>278</v>
      </c>
      <c r="B34" s="378"/>
      <c r="C34" s="275">
        <v>675</v>
      </c>
      <c r="D34" s="378"/>
      <c r="E34" s="275">
        <v>0</v>
      </c>
      <c r="F34" s="378"/>
      <c r="G34" s="287">
        <f>+'Exh D Special Revenue State Fed'!G34+'Exh D Special Revenue State Fed'!S34</f>
        <v>676.6</v>
      </c>
      <c r="H34" s="378"/>
      <c r="I34" s="287">
        <f>-'Exhibit G'!AB115</f>
        <v>-123.9</v>
      </c>
      <c r="J34" s="378"/>
      <c r="K34" s="264">
        <f t="shared" si="2"/>
        <v>552.70000000000005</v>
      </c>
      <c r="L34" s="378"/>
      <c r="M34" s="264">
        <f t="shared" si="3"/>
        <v>-122.29999999999995</v>
      </c>
      <c r="N34" s="378"/>
      <c r="O34" s="264">
        <v>0</v>
      </c>
      <c r="P34" s="1515"/>
      <c r="Q34" s="1492"/>
    </row>
    <row r="35" spans="1:17" ht="18" customHeight="1">
      <c r="A35" s="1216" t="s">
        <v>270</v>
      </c>
      <c r="B35" s="36"/>
      <c r="C35" s="616">
        <f>ROUND(SUM(C29:C34),1)</f>
        <v>32352</v>
      </c>
      <c r="D35" s="36"/>
      <c r="E35" s="616">
        <f>ROUND(SUM(E29:E34),1)</f>
        <v>0</v>
      </c>
      <c r="F35" s="36"/>
      <c r="G35" s="617">
        <f>ROUND(SUM(G29:G34),1)</f>
        <v>31435.599999999999</v>
      </c>
      <c r="H35" s="36"/>
      <c r="I35" s="616">
        <f>ROUND(SUM(I29:I34),1)</f>
        <v>-123.9</v>
      </c>
      <c r="J35" s="36"/>
      <c r="K35" s="616">
        <f>ROUND(SUM(K29:K34),1)</f>
        <v>31311.7</v>
      </c>
      <c r="L35" s="36"/>
      <c r="M35" s="617">
        <f>ROUND(SUM(M29:M34),1)</f>
        <v>-1040.3</v>
      </c>
      <c r="N35" s="36"/>
      <c r="O35" s="617">
        <f>ROUND(SUM(O29:O34),1)</f>
        <v>0</v>
      </c>
      <c r="P35" s="1515"/>
      <c r="Q35" s="1492"/>
    </row>
    <row r="36" spans="1:17" ht="15.75">
      <c r="C36" s="264"/>
      <c r="E36" s="264"/>
      <c r="G36" s="615"/>
      <c r="I36" s="264"/>
      <c r="K36" s="264"/>
      <c r="M36" s="615"/>
      <c r="O36" s="615"/>
      <c r="P36" s="1517"/>
      <c r="Q36" s="1517"/>
    </row>
    <row r="37" spans="1:17" ht="15.75">
      <c r="A37" s="3" t="s">
        <v>271</v>
      </c>
      <c r="C37" s="264"/>
      <c r="E37" s="264"/>
      <c r="G37" s="264"/>
      <c r="I37" s="264"/>
      <c r="K37" s="264"/>
      <c r="M37" s="264"/>
      <c r="O37" s="264"/>
      <c r="P37" s="1492"/>
      <c r="Q37" s="1492"/>
    </row>
    <row r="38" spans="1:17" ht="15.75">
      <c r="A38" s="3" t="s">
        <v>272</v>
      </c>
      <c r="C38" s="264"/>
      <c r="E38" s="264"/>
      <c r="G38" s="264"/>
      <c r="I38" s="264"/>
      <c r="K38" s="264"/>
      <c r="M38" s="264"/>
      <c r="O38" s="264"/>
      <c r="P38" s="1492"/>
      <c r="Q38" s="1492"/>
    </row>
    <row r="39" spans="1:17" ht="15.75">
      <c r="A39" s="1216" t="s">
        <v>252</v>
      </c>
      <c r="B39" s="42"/>
      <c r="C39" s="13">
        <f>ROUND(SUM(C26)-SUM(C35),1)</f>
        <v>4570</v>
      </c>
      <c r="D39" s="42"/>
      <c r="E39" s="13">
        <f>ROUND(SUM(E26)-SUM(E35),1)</f>
        <v>0</v>
      </c>
      <c r="F39" s="42"/>
      <c r="G39" s="13">
        <f>ROUND(SUM(G26)-SUM(G35),1)</f>
        <v>8348</v>
      </c>
      <c r="H39" s="42"/>
      <c r="I39" s="13">
        <v>0</v>
      </c>
      <c r="J39" s="42"/>
      <c r="K39" s="13">
        <f>+G39+I39</f>
        <v>8348</v>
      </c>
      <c r="L39" s="42"/>
      <c r="M39" s="13">
        <f>ROUND(SUM(M26)-SUM(M35),1)</f>
        <v>3778</v>
      </c>
      <c r="N39" s="42"/>
      <c r="O39" s="13">
        <f>ROUND(SUM(O26)-SUM(O35),1)</f>
        <v>0</v>
      </c>
      <c r="P39" s="1492"/>
      <c r="Q39" s="1492"/>
    </row>
    <row r="40" spans="1:17" ht="15" customHeight="1">
      <c r="C40" s="264"/>
      <c r="E40" s="264"/>
      <c r="G40" s="264"/>
      <c r="I40" s="264"/>
      <c r="K40" s="264"/>
      <c r="M40" s="264"/>
      <c r="O40" s="264"/>
      <c r="P40" s="1517"/>
      <c r="Q40" s="1518"/>
    </row>
    <row r="41" spans="1:17" ht="15.75">
      <c r="A41" s="1216" t="str">
        <f>+'Exh D Governmental  '!A49</f>
        <v>Fund Balances (Deficits) at April 1</v>
      </c>
      <c r="C41" s="26">
        <f>'Exh D Special Revenue State Fed'!C41+'Exh D Special Revenue State Fed'!O41</f>
        <v>21209</v>
      </c>
      <c r="E41" s="26">
        <v>0</v>
      </c>
      <c r="G41" s="13">
        <f>'Exh D Special Revenue State Fed'!G41+'Exh D Special Revenue State Fed'!S41</f>
        <v>21208.6</v>
      </c>
      <c r="I41" s="13">
        <v>0</v>
      </c>
      <c r="K41" s="13">
        <f>+G41+I41</f>
        <v>21208.6</v>
      </c>
      <c r="M41" s="13">
        <f t="shared" ref="M41" si="4">K41-C41</f>
        <v>-0.40000000000145519</v>
      </c>
      <c r="O41" s="13">
        <v>0</v>
      </c>
      <c r="P41" s="1492"/>
      <c r="Q41" s="1492"/>
    </row>
    <row r="42" spans="1:17" ht="18" customHeight="1" thickBot="1">
      <c r="A42" s="1216" t="str">
        <f>+'Exh D Governmental  '!A50</f>
        <v>Fund Balances (Deficits) at June 30, 2026</v>
      </c>
      <c r="B42" s="42"/>
      <c r="C42" s="674">
        <f>ROUND(SUM(C39:C41),1)</f>
        <v>25779</v>
      </c>
      <c r="D42" s="42"/>
      <c r="E42" s="674">
        <f>ROUND(SUM(E39:E41),1)</f>
        <v>0</v>
      </c>
      <c r="F42" s="42"/>
      <c r="G42" s="674">
        <f>ROUND(SUM(G39:G41),1)</f>
        <v>29556.6</v>
      </c>
      <c r="H42" s="42"/>
      <c r="I42" s="674">
        <f>ROUND(SUM(I39:I41),1)</f>
        <v>0</v>
      </c>
      <c r="J42" s="42"/>
      <c r="K42" s="674">
        <f>ROUND(SUM(K39:K41),1)</f>
        <v>29556.6</v>
      </c>
      <c r="L42" s="42"/>
      <c r="M42" s="674">
        <f>ROUND(SUM(M39:M41),1)</f>
        <v>3777.6</v>
      </c>
      <c r="N42" s="42"/>
      <c r="O42" s="674">
        <f>ROUND(SUM(O39:O41),1)</f>
        <v>0</v>
      </c>
      <c r="P42" s="1492"/>
      <c r="Q42" s="1492"/>
    </row>
    <row r="43" spans="1:17" ht="15" customHeight="1" thickTop="1">
      <c r="A43" s="39"/>
      <c r="E43" s="290"/>
      <c r="G43" s="274"/>
      <c r="I43" s="274"/>
      <c r="K43" s="274"/>
      <c r="M43" s="274"/>
      <c r="O43" s="556"/>
    </row>
    <row r="44" spans="1:17">
      <c r="A44" s="385" t="str">
        <f>'Exh D Governmental  '!A52</f>
        <v>(*)  Source: 2026-27 Enacted Budget dated June 10, 2026.</v>
      </c>
    </row>
    <row r="45" spans="1:17">
      <c r="A45" s="350" t="s">
        <v>1495</v>
      </c>
    </row>
    <row r="48" spans="1:17">
      <c r="A48" s="350"/>
    </row>
    <row r="50" spans="1:1">
      <c r="A50" s="55"/>
    </row>
    <row r="51" spans="1:1">
      <c r="A51" s="55"/>
    </row>
  </sheetData>
  <customSheetViews>
    <customSheetView guid="{83D69B98-1714-4D17-901F-87B47BE66947}" scale="90" showPageBreaks="1" showGridLines="0" printArea="1" topLeftCell="A32">
      <selection activeCell="A47" sqref="A47"/>
      <pageMargins left="0.7" right="0.7" top="0.75" bottom="0.6" header="0.3" footer="0.3"/>
      <printOptions horizontalCentered="1"/>
      <pageSetup scale="60" firstPageNumber="10" orientation="landscape" useFirstPageNumber="1" r:id="rId1"/>
      <headerFooter scaleWithDoc="0" alignWithMargins="0">
        <oddFooter>&amp;C&amp;8&amp;P</oddFooter>
      </headerFooter>
    </customSheetView>
    <customSheetView guid="{F9AE1502-86F7-4AAA-AE66-F6A75A634C1B}" scale="90" showPageBreaks="1" showGridLines="0" printArea="1" topLeftCell="A15">
      <selection activeCell="L53" sqref="L53"/>
      <pageMargins left="0.7" right="0.7" top="0.75" bottom="0.6" header="0.3" footer="0.3"/>
      <printOptions horizontalCentered="1"/>
      <pageSetup scale="60" firstPageNumber="10" orientation="landscape" useFirstPageNumber="1" r:id="rId2"/>
      <headerFooter scaleWithDoc="0" alignWithMargins="0">
        <oddFooter>&amp;C&amp;8&amp;P</oddFooter>
      </headerFooter>
    </customSheetView>
    <customSheetView guid="{C41E3923-0A88-49D0-AE43-0E74D386A056}" scale="90" showPageBreaks="1" showGridLines="0" printArea="1" topLeftCell="A15">
      <selection activeCell="L53" sqref="L53"/>
      <pageMargins left="0.7" right="0.7" top="0.75" bottom="0.6" header="0.3" footer="0.3"/>
      <printOptions horizontalCentered="1"/>
      <pageSetup scale="60" firstPageNumber="10" orientation="landscape" useFirstPageNumber="1" r:id="rId3"/>
      <headerFooter scaleWithDoc="0" alignWithMargins="0">
        <oddFooter>&amp;C&amp;8&amp;P</oddFooter>
      </headerFooter>
    </customSheetView>
    <customSheetView guid="{1DF171D7-3BFC-49F6-B708-0F91FCFAB6E2}" scale="90" showPageBreaks="1" showGridLines="0" printArea="1" topLeftCell="A15">
      <selection activeCell="A45" sqref="A45:XFD45"/>
      <pageMargins left="0.7" right="0.7" top="0.75" bottom="0.6" header="0.3" footer="0.3"/>
      <printOptions horizontalCentered="1"/>
      <pageSetup scale="60" firstPageNumber="10" orientation="landscape" useFirstPageNumber="1" r:id="rId4"/>
      <headerFooter scaleWithDoc="0" alignWithMargins="0">
        <oddFooter>&amp;C&amp;8&amp;P</oddFooter>
      </headerFooter>
    </customSheetView>
    <customSheetView guid="{9F00D83C-7F4F-41B5-9976-8610D9EBC976}" scale="90" showPageBreaks="1" showGridLines="0" printArea="1" topLeftCell="A15">
      <selection activeCell="L53" sqref="L53"/>
      <pageMargins left="0.7" right="0.7" top="0.75" bottom="0.6" header="0.3" footer="0.3"/>
      <printOptions horizontalCentered="1"/>
      <pageSetup scale="60" firstPageNumber="10" orientation="landscape" useFirstPageNumber="1" r:id="rId5"/>
      <headerFooter scaleWithDoc="0" alignWithMargins="0">
        <oddFooter>&amp;C&amp;8&amp;P</oddFooter>
      </headerFooter>
    </customSheetView>
    <customSheetView guid="{D1467C25-646C-4F1A-9353-0E890E575522}" scale="90" showPageBreaks="1" showGridLines="0" printArea="1" topLeftCell="A15">
      <selection activeCell="L53" sqref="L53"/>
      <pageMargins left="0.7" right="0.7" top="0.75" bottom="0.6" header="0.3" footer="0.3"/>
      <printOptions horizontalCentered="1"/>
      <pageSetup scale="60" firstPageNumber="10" orientation="landscape" useFirstPageNumber="1" r:id="rId6"/>
      <headerFooter scaleWithDoc="0" alignWithMargins="0">
        <oddFooter>&amp;C&amp;8&amp;P</oddFooter>
      </headerFooter>
    </customSheetView>
    <customSheetView guid="{3A50DD26-AAF5-43D4-97DE-BAE3367A2F29}" scale="90" showPageBreaks="1" showGridLines="0" printArea="1">
      <selection activeCell="C16" sqref="C16:E16"/>
      <pageMargins left="0.7" right="0.7" top="0.75" bottom="0.6" header="0.3" footer="0.3"/>
      <printOptions horizontalCentered="1"/>
      <pageSetup scale="60" firstPageNumber="10" orientation="landscape" useFirstPageNumber="1" r:id="rId7"/>
      <headerFooter scaleWithDoc="0" alignWithMargins="0">
        <oddFooter>&amp;C&amp;8&amp;P</oddFooter>
      </headerFooter>
    </customSheetView>
    <customSheetView guid="{C3636880-B45B-4897-94F2-F91976416934}" scale="90" showPageBreaks="1" showGridLines="0" printArea="1" topLeftCell="A15">
      <selection activeCell="L53" sqref="L53"/>
      <pageMargins left="0.7" right="0.7" top="0.75" bottom="0.6" header="0.3" footer="0.3"/>
      <printOptions horizontalCentered="1"/>
      <pageSetup scale="60" firstPageNumber="10" orientation="landscape" useFirstPageNumber="1" r:id="rId8"/>
      <headerFooter scaleWithDoc="0" alignWithMargins="0">
        <oddFooter>&amp;C&amp;8&amp;P</oddFooter>
      </headerFooter>
    </customSheetView>
  </customSheetViews>
  <printOptions horizontalCentered="1"/>
  <pageMargins left="0.7" right="0.7" top="0.75" bottom="0.6" header="0.3" footer="0.3"/>
  <pageSetup scale="60" firstPageNumber="10" orientation="landscape" useFirstPageNumber="1" r:id="rId9"/>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Z47"/>
  <sheetViews>
    <sheetView showGridLines="0" zoomScale="80" zoomScaleNormal="80" workbookViewId="0"/>
  </sheetViews>
  <sheetFormatPr defaultColWidth="8.88671875" defaultRowHeight="15"/>
  <cols>
    <col min="1" max="1" width="53.109375" style="291" customWidth="1"/>
    <col min="2" max="2" width="0.88671875" style="256" customWidth="1"/>
    <col min="3" max="3" width="15.88671875" style="128" customWidth="1"/>
    <col min="4" max="4" width="1.109375" style="256" customWidth="1"/>
    <col min="5" max="5" width="15.88671875" style="128" customWidth="1"/>
    <col min="6" max="6" width="1.109375" style="256" customWidth="1"/>
    <col min="7" max="7" width="15.88671875" style="256" customWidth="1"/>
    <col min="8" max="8" width="1.109375" style="256" customWidth="1"/>
    <col min="9" max="9" width="15.88671875" style="256" customWidth="1"/>
    <col min="10" max="10" width="1.109375" style="256" customWidth="1"/>
    <col min="11" max="11" width="15.88671875" style="256" customWidth="1"/>
    <col min="12" max="14" width="1.109375" style="256" customWidth="1"/>
    <col min="15" max="15" width="15.88671875" style="256" customWidth="1"/>
    <col min="16" max="16" width="1.109375" style="256" customWidth="1"/>
    <col min="17" max="17" width="15.88671875" style="256" customWidth="1"/>
    <col min="18" max="18" width="1.109375" style="256" customWidth="1"/>
    <col min="19" max="19" width="15.88671875" style="256" customWidth="1"/>
    <col min="20" max="20" width="1.109375" style="256" customWidth="1"/>
    <col min="21" max="21" width="15.88671875" style="256" customWidth="1"/>
    <col min="22" max="22" width="1.109375" style="256" customWidth="1"/>
    <col min="23" max="23" width="15.88671875" style="128" customWidth="1"/>
    <col min="24" max="24" width="1" style="256" customWidth="1"/>
    <col min="25" max="25" width="3.88671875" style="128" customWidth="1"/>
    <col min="26" max="26" width="1" style="256" customWidth="1"/>
    <col min="27" max="16384" width="8.88671875" style="291"/>
  </cols>
  <sheetData>
    <row r="1" spans="1:26">
      <c r="A1" s="386" t="s">
        <v>97</v>
      </c>
      <c r="B1" s="48"/>
      <c r="C1" s="124"/>
      <c r="D1" s="48"/>
      <c r="E1" s="124"/>
      <c r="F1" s="48"/>
      <c r="G1" s="48"/>
      <c r="H1" s="48"/>
      <c r="I1" s="48"/>
      <c r="J1" s="48"/>
      <c r="K1" s="48"/>
      <c r="L1" s="48"/>
      <c r="M1" s="48"/>
      <c r="N1" s="48"/>
      <c r="O1" s="48"/>
      <c r="P1" s="48"/>
      <c r="Q1" s="48"/>
      <c r="R1" s="48"/>
      <c r="S1" s="48"/>
      <c r="T1" s="48"/>
      <c r="U1" s="48"/>
      <c r="V1" s="48"/>
      <c r="W1" s="124"/>
      <c r="X1" s="48"/>
      <c r="Y1" s="124"/>
      <c r="Z1" s="48"/>
    </row>
    <row r="2" spans="1:26" ht="17.25" customHeight="1">
      <c r="A2" s="49"/>
      <c r="B2" s="48"/>
      <c r="C2" s="124"/>
      <c r="D2" s="48"/>
      <c r="E2" s="124"/>
      <c r="F2" s="48"/>
      <c r="G2" s="48"/>
      <c r="H2" s="48"/>
      <c r="I2" s="48"/>
      <c r="J2" s="48"/>
      <c r="K2" s="48"/>
      <c r="L2" s="48"/>
      <c r="M2" s="48"/>
      <c r="N2" s="48"/>
      <c r="O2" s="48"/>
      <c r="P2" s="48"/>
      <c r="Q2" s="48"/>
      <c r="R2" s="48"/>
      <c r="S2" s="48"/>
      <c r="T2" s="48"/>
      <c r="U2" s="48"/>
      <c r="V2" s="48"/>
      <c r="W2" s="124"/>
      <c r="X2" s="48"/>
      <c r="Y2" s="124"/>
      <c r="Z2" s="48"/>
    </row>
    <row r="3" spans="1:26" ht="18.75" customHeight="1">
      <c r="A3" s="50" t="s">
        <v>98</v>
      </c>
      <c r="B3" s="30"/>
      <c r="C3" s="125"/>
      <c r="D3" s="30"/>
      <c r="E3" s="125"/>
      <c r="F3" s="30"/>
      <c r="G3" s="30"/>
      <c r="H3" s="30"/>
      <c r="I3" s="30"/>
      <c r="J3" s="30"/>
      <c r="K3" s="30"/>
      <c r="L3" s="30"/>
      <c r="M3" s="30"/>
      <c r="N3" s="30"/>
      <c r="O3" s="30"/>
      <c r="P3" s="30"/>
      <c r="Q3" s="30"/>
      <c r="R3" s="30"/>
      <c r="S3" s="30"/>
      <c r="T3" s="30"/>
      <c r="U3" s="352"/>
      <c r="V3" s="30"/>
      <c r="W3" s="352" t="s">
        <v>224</v>
      </c>
      <c r="X3" s="30"/>
      <c r="Y3" s="125"/>
      <c r="Z3" s="30"/>
    </row>
    <row r="4" spans="1:26" ht="18.75" customHeight="1">
      <c r="A4" s="50" t="s">
        <v>225</v>
      </c>
      <c r="B4" s="30"/>
      <c r="C4" s="125"/>
      <c r="D4" s="30"/>
      <c r="E4" s="125"/>
      <c r="F4" s="30"/>
      <c r="G4" s="30"/>
      <c r="H4" s="30"/>
      <c r="I4" s="30"/>
      <c r="J4" s="30"/>
      <c r="K4" s="30"/>
      <c r="L4" s="30"/>
      <c r="M4" s="30"/>
      <c r="N4" s="30"/>
      <c r="O4" s="30"/>
      <c r="P4" s="30"/>
      <c r="Q4" s="30"/>
      <c r="R4" s="30"/>
      <c r="S4" s="30"/>
      <c r="T4" s="30"/>
      <c r="U4" s="353"/>
      <c r="V4" s="30"/>
      <c r="W4" s="353"/>
      <c r="X4" s="30"/>
      <c r="Y4" s="125"/>
      <c r="Z4" s="30"/>
    </row>
    <row r="5" spans="1:26" ht="18.75" customHeight="1">
      <c r="A5" s="1996" t="str">
        <f>'Exh D Governmental  '!A5</f>
        <v>FISCAL YEAR 2026-2027</v>
      </c>
      <c r="B5" s="23"/>
      <c r="C5" s="23"/>
      <c r="D5" s="23"/>
      <c r="E5" s="23"/>
      <c r="F5" s="30"/>
      <c r="G5" s="268"/>
      <c r="H5" s="30"/>
      <c r="I5" s="30"/>
      <c r="J5" s="30"/>
      <c r="K5" s="30"/>
      <c r="L5" s="30"/>
      <c r="M5" s="30"/>
      <c r="N5" s="30"/>
      <c r="O5" s="277"/>
      <c r="P5" s="30"/>
      <c r="Q5" s="30"/>
      <c r="R5" s="30"/>
      <c r="S5" s="30"/>
      <c r="T5" s="30"/>
      <c r="U5" s="30"/>
      <c r="V5" s="30"/>
      <c r="W5" s="125"/>
      <c r="X5" s="30"/>
      <c r="Y5" s="125"/>
      <c r="Z5" s="30"/>
    </row>
    <row r="6" spans="1:26" ht="18.75" customHeight="1">
      <c r="A6" s="33" t="str">
        <f>'Exh D Governmental  '!A6</f>
        <v>FOR THREE MONTHS ENDED JUNE 30, 2026</v>
      </c>
      <c r="B6" s="30"/>
      <c r="C6" s="125"/>
      <c r="D6" s="30"/>
      <c r="E6" s="125"/>
      <c r="F6" s="30"/>
      <c r="G6" s="30"/>
      <c r="H6" s="30"/>
      <c r="I6" s="30"/>
      <c r="J6" s="30"/>
      <c r="K6" s="30"/>
      <c r="L6" s="30"/>
      <c r="M6" s="30"/>
      <c r="N6" s="30"/>
      <c r="O6" s="30"/>
      <c r="P6" s="30"/>
      <c r="Q6" s="30"/>
      <c r="R6" s="30"/>
      <c r="S6" s="30"/>
      <c r="T6" s="30"/>
      <c r="U6" s="30"/>
      <c r="V6" s="30"/>
      <c r="W6" s="125"/>
      <c r="X6" s="30"/>
      <c r="Y6" s="125"/>
      <c r="Z6" s="30"/>
    </row>
    <row r="7" spans="1:26" ht="18.75" customHeight="1">
      <c r="A7" s="50" t="s">
        <v>226</v>
      </c>
      <c r="B7" s="30"/>
      <c r="C7" s="125"/>
      <c r="D7" s="30"/>
      <c r="E7" s="125"/>
      <c r="F7" s="30"/>
      <c r="G7" s="30"/>
      <c r="H7" s="30"/>
      <c r="I7" s="30"/>
      <c r="J7" s="30"/>
      <c r="K7" s="30"/>
      <c r="L7" s="30"/>
      <c r="M7" s="30"/>
      <c r="N7" s="30"/>
      <c r="O7" s="30"/>
      <c r="P7" s="30"/>
      <c r="Q7" s="30"/>
      <c r="R7" s="30"/>
      <c r="S7" s="30"/>
      <c r="T7" s="30"/>
      <c r="U7" s="30"/>
      <c r="V7" s="30"/>
      <c r="W7" s="125"/>
      <c r="X7" s="30"/>
      <c r="Y7" s="125"/>
      <c r="Z7" s="30"/>
    </row>
    <row r="8" spans="1:26" ht="15" customHeight="1">
      <c r="A8" s="34"/>
      <c r="B8" s="30"/>
      <c r="C8" s="125"/>
      <c r="D8" s="30"/>
      <c r="E8" s="125"/>
      <c r="F8" s="30"/>
      <c r="G8" s="30"/>
      <c r="H8" s="30"/>
      <c r="I8" s="30"/>
      <c r="J8" s="30"/>
      <c r="K8" s="30"/>
      <c r="L8" s="30"/>
      <c r="M8" s="30"/>
      <c r="N8" s="30"/>
      <c r="O8" s="30"/>
      <c r="P8" s="30"/>
      <c r="Q8" s="30"/>
      <c r="R8" s="30"/>
      <c r="S8" s="30"/>
      <c r="T8" s="30"/>
      <c r="U8" s="30"/>
      <c r="V8" s="30"/>
      <c r="W8" s="125"/>
      <c r="X8" s="30"/>
      <c r="Y8" s="125"/>
      <c r="Z8" s="30"/>
    </row>
    <row r="9" spans="1:26">
      <c r="A9" s="35"/>
      <c r="B9" s="30"/>
      <c r="C9" s="125"/>
      <c r="D9" s="30"/>
      <c r="E9" s="125"/>
      <c r="F9" s="30"/>
      <c r="G9" s="30"/>
      <c r="H9" s="30"/>
      <c r="I9" s="30"/>
      <c r="J9" s="30"/>
      <c r="K9" s="30"/>
      <c r="L9" s="30"/>
      <c r="M9" s="30"/>
      <c r="N9" s="30"/>
      <c r="O9" s="30"/>
      <c r="P9" s="30"/>
      <c r="Q9" s="30"/>
      <c r="R9" s="30"/>
      <c r="S9" s="30"/>
      <c r="T9" s="30"/>
      <c r="U9" s="30"/>
      <c r="V9" s="30"/>
      <c r="W9" s="125"/>
      <c r="X9" s="30"/>
      <c r="Y9" s="125"/>
      <c r="Z9" s="30"/>
    </row>
    <row r="10" spans="1:26">
      <c r="A10" s="35"/>
      <c r="B10" s="30"/>
      <c r="C10" s="125"/>
      <c r="D10" s="30"/>
      <c r="E10" s="125"/>
      <c r="F10" s="30"/>
      <c r="G10" s="30"/>
      <c r="H10" s="30"/>
      <c r="I10" s="30"/>
      <c r="J10" s="30"/>
      <c r="K10" s="30"/>
      <c r="L10" s="30"/>
      <c r="M10" s="30"/>
      <c r="N10" s="30"/>
      <c r="O10" s="30"/>
      <c r="P10" s="30"/>
      <c r="Q10" s="30"/>
      <c r="R10" s="30"/>
      <c r="S10" s="30"/>
      <c r="T10" s="30"/>
      <c r="U10" s="30"/>
      <c r="V10" s="30"/>
      <c r="W10" s="125"/>
      <c r="X10" s="30"/>
      <c r="Y10" s="125"/>
      <c r="Z10" s="30"/>
    </row>
    <row r="11" spans="1:26" ht="15.75">
      <c r="C11" s="2061" t="s">
        <v>1443</v>
      </c>
      <c r="D11" s="2061"/>
      <c r="E11" s="2061"/>
      <c r="F11" s="2061"/>
      <c r="G11" s="2061"/>
      <c r="H11" s="2061"/>
      <c r="I11" s="2061"/>
      <c r="J11" s="1217"/>
      <c r="K11" s="1217"/>
      <c r="L11" s="52"/>
      <c r="M11" s="52"/>
      <c r="N11" s="51"/>
      <c r="O11" s="2061" t="s">
        <v>1444</v>
      </c>
      <c r="P11" s="2061"/>
      <c r="Q11" s="2061"/>
      <c r="R11" s="2061"/>
      <c r="S11" s="2061"/>
      <c r="T11" s="2061"/>
      <c r="U11" s="2061"/>
      <c r="V11" s="1007"/>
      <c r="W11" s="1218"/>
      <c r="X11" s="532"/>
      <c r="Y11" s="532"/>
      <c r="Z11" s="532"/>
    </row>
    <row r="12" spans="1:26" ht="15.75">
      <c r="C12" s="126"/>
      <c r="D12" s="52"/>
      <c r="E12" s="126"/>
      <c r="F12" s="52"/>
      <c r="G12" s="53"/>
      <c r="H12" s="52"/>
      <c r="I12" s="52" t="s">
        <v>228</v>
      </c>
      <c r="J12" s="52"/>
      <c r="K12" s="52" t="s">
        <v>228</v>
      </c>
      <c r="L12" s="52"/>
      <c r="M12" s="1520"/>
      <c r="N12" s="51"/>
      <c r="O12" s="126"/>
      <c r="P12" s="52"/>
      <c r="Q12" s="126"/>
      <c r="R12" s="52"/>
      <c r="S12" s="53"/>
      <c r="T12" s="52"/>
      <c r="U12" s="52" t="s">
        <v>228</v>
      </c>
      <c r="V12" s="52"/>
      <c r="W12" s="52" t="s">
        <v>228</v>
      </c>
      <c r="X12" s="52"/>
      <c r="Z12" s="52"/>
    </row>
    <row r="13" spans="1:26" ht="15.75">
      <c r="B13" s="36"/>
      <c r="C13" s="127"/>
      <c r="D13" s="36"/>
      <c r="E13" s="127"/>
      <c r="F13" s="36"/>
      <c r="G13" s="36"/>
      <c r="H13" s="36"/>
      <c r="I13" s="37" t="s">
        <v>229</v>
      </c>
      <c r="J13" s="36"/>
      <c r="K13" s="37" t="s">
        <v>229</v>
      </c>
      <c r="L13" s="37"/>
      <c r="M13" s="1521"/>
      <c r="N13" s="37"/>
      <c r="O13" s="127"/>
      <c r="P13" s="36"/>
      <c r="Q13" s="127"/>
      <c r="R13" s="36"/>
      <c r="S13" s="36"/>
      <c r="T13" s="36"/>
      <c r="U13" s="37" t="s">
        <v>229</v>
      </c>
      <c r="V13" s="36"/>
      <c r="W13" s="37" t="s">
        <v>229</v>
      </c>
      <c r="X13" s="36"/>
      <c r="Y13" s="127"/>
      <c r="Z13" s="36"/>
    </row>
    <row r="14" spans="1:26" ht="15.75">
      <c r="B14" s="54"/>
      <c r="C14" s="38" t="s">
        <v>231</v>
      </c>
      <c r="D14" s="36"/>
      <c r="E14" s="37" t="s">
        <v>232</v>
      </c>
      <c r="F14" s="36"/>
      <c r="G14" s="36"/>
      <c r="H14" s="36"/>
      <c r="I14" s="37" t="s">
        <v>233</v>
      </c>
      <c r="J14" s="36"/>
      <c r="K14" s="37" t="s">
        <v>233</v>
      </c>
      <c r="L14" s="37"/>
      <c r="M14" s="1521"/>
      <c r="N14" s="37"/>
      <c r="O14" s="38" t="s">
        <v>231</v>
      </c>
      <c r="P14" s="36"/>
      <c r="Q14" s="37" t="s">
        <v>232</v>
      </c>
      <c r="R14" s="36"/>
      <c r="S14" s="36"/>
      <c r="T14" s="36"/>
      <c r="U14" s="37" t="s">
        <v>233</v>
      </c>
      <c r="V14" s="36"/>
      <c r="W14" s="37" t="s">
        <v>233</v>
      </c>
      <c r="X14" s="291"/>
      <c r="Y14" s="37"/>
      <c r="Z14" s="36"/>
    </row>
    <row r="15" spans="1:26" ht="15.75">
      <c r="B15" s="54"/>
      <c r="C15" s="37" t="s">
        <v>234</v>
      </c>
      <c r="D15" s="36"/>
      <c r="E15" s="37" t="s">
        <v>234</v>
      </c>
      <c r="F15" s="36"/>
      <c r="G15" s="36"/>
      <c r="H15" s="36"/>
      <c r="I15" s="37" t="s">
        <v>231</v>
      </c>
      <c r="J15" s="36"/>
      <c r="K15" s="37" t="s">
        <v>232</v>
      </c>
      <c r="L15" s="37"/>
      <c r="M15" s="1521"/>
      <c r="N15" s="37"/>
      <c r="O15" s="37" t="s">
        <v>234</v>
      </c>
      <c r="P15" s="36"/>
      <c r="Q15" s="37" t="s">
        <v>234</v>
      </c>
      <c r="R15" s="36"/>
      <c r="S15" s="36"/>
      <c r="T15" s="36"/>
      <c r="U15" s="37" t="s">
        <v>231</v>
      </c>
      <c r="V15" s="36"/>
      <c r="W15" s="37" t="s">
        <v>232</v>
      </c>
      <c r="X15" s="36"/>
      <c r="Y15" s="37"/>
      <c r="Z15" s="36"/>
    </row>
    <row r="16" spans="1:26" ht="15.75">
      <c r="B16" s="37"/>
      <c r="C16" s="37" t="s">
        <v>235</v>
      </c>
      <c r="D16" s="36"/>
      <c r="E16" s="37" t="s">
        <v>1491</v>
      </c>
      <c r="F16" s="36"/>
      <c r="G16" s="38" t="s">
        <v>228</v>
      </c>
      <c r="H16" s="36"/>
      <c r="I16" s="37" t="s">
        <v>236</v>
      </c>
      <c r="J16" s="36"/>
      <c r="K16" s="37" t="s">
        <v>236</v>
      </c>
      <c r="L16" s="37"/>
      <c r="M16" s="1521"/>
      <c r="N16" s="37"/>
      <c r="O16" s="37" t="s">
        <v>235</v>
      </c>
      <c r="P16" s="36"/>
      <c r="Q16" s="37" t="s">
        <v>1491</v>
      </c>
      <c r="R16" s="36"/>
      <c r="S16" s="38" t="s">
        <v>228</v>
      </c>
      <c r="T16" s="36"/>
      <c r="U16" s="37" t="s">
        <v>236</v>
      </c>
      <c r="V16" s="36"/>
      <c r="W16" s="37" t="s">
        <v>236</v>
      </c>
      <c r="X16" s="36"/>
      <c r="Y16" s="37"/>
      <c r="Z16" s="36"/>
    </row>
    <row r="17" spans="1:26">
      <c r="A17" s="39"/>
      <c r="B17" s="30"/>
      <c r="C17" s="1005"/>
      <c r="D17" s="30"/>
      <c r="E17" s="1005"/>
      <c r="F17" s="30"/>
      <c r="G17" s="1005"/>
      <c r="H17" s="30"/>
      <c r="I17" s="1005"/>
      <c r="J17" s="30"/>
      <c r="K17" s="1005"/>
      <c r="L17" s="30"/>
      <c r="M17" s="1522"/>
      <c r="N17" s="30"/>
      <c r="O17" s="1005"/>
      <c r="P17" s="30"/>
      <c r="Q17" s="1005"/>
      <c r="R17" s="30"/>
      <c r="S17" s="1005"/>
      <c r="T17" s="30"/>
      <c r="U17" s="1005"/>
      <c r="V17" s="30"/>
      <c r="W17" s="1005"/>
      <c r="X17" s="30"/>
      <c r="Y17" s="30"/>
      <c r="Z17" s="30"/>
    </row>
    <row r="18" spans="1:26" ht="15.75">
      <c r="A18" s="3" t="s">
        <v>114</v>
      </c>
      <c r="C18" s="256"/>
      <c r="E18" s="256"/>
      <c r="M18" s="1523"/>
      <c r="W18" s="256"/>
      <c r="Y18" s="256"/>
    </row>
    <row r="19" spans="1:26">
      <c r="A19" s="350" t="s">
        <v>237</v>
      </c>
      <c r="B19" s="378"/>
      <c r="C19" s="256"/>
      <c r="D19" s="378"/>
      <c r="E19" s="256"/>
      <c r="F19" s="378"/>
      <c r="H19" s="378"/>
      <c r="J19" s="378"/>
      <c r="M19" s="1523"/>
      <c r="P19" s="378"/>
      <c r="R19" s="378"/>
      <c r="T19" s="378"/>
      <c r="V19" s="378"/>
      <c r="W19" s="256"/>
      <c r="Y19" s="256"/>
    </row>
    <row r="20" spans="1:26">
      <c r="A20" s="350" t="s">
        <v>238</v>
      </c>
      <c r="B20" s="378" t="s">
        <v>103</v>
      </c>
      <c r="C20" s="277">
        <v>0</v>
      </c>
      <c r="D20" s="276"/>
      <c r="E20" s="277">
        <v>0</v>
      </c>
      <c r="F20" s="276"/>
      <c r="G20" s="274">
        <f>'Exhibit G State'!AC17</f>
        <v>0</v>
      </c>
      <c r="H20" s="276"/>
      <c r="I20" s="274">
        <f>G20-C20</f>
        <v>0</v>
      </c>
      <c r="J20" s="276"/>
      <c r="K20" s="274">
        <v>0</v>
      </c>
      <c r="L20" s="274"/>
      <c r="M20" s="1497"/>
      <c r="O20" s="277">
        <v>0</v>
      </c>
      <c r="P20" s="276"/>
      <c r="Q20" s="277">
        <v>0</v>
      </c>
      <c r="R20" s="276"/>
      <c r="S20" s="274">
        <v>0</v>
      </c>
      <c r="T20" s="276"/>
      <c r="U20" s="274">
        <f>S20-O20</f>
        <v>0</v>
      </c>
      <c r="V20" s="276"/>
      <c r="W20" s="274">
        <v>0</v>
      </c>
      <c r="X20" s="276"/>
      <c r="Y20" s="1524"/>
      <c r="Z20" s="276"/>
    </row>
    <row r="21" spans="1:26">
      <c r="A21" s="350" t="s">
        <v>239</v>
      </c>
      <c r="B21" s="256" t="s">
        <v>103</v>
      </c>
      <c r="C21" s="275">
        <v>624</v>
      </c>
      <c r="D21" s="1790"/>
      <c r="E21" s="275">
        <v>0</v>
      </c>
      <c r="F21" s="264"/>
      <c r="G21" s="264">
        <f>'Exhibit G State'!AC29</f>
        <v>650.4</v>
      </c>
      <c r="H21" s="264"/>
      <c r="I21" s="264">
        <f t="shared" ref="I21:I25" si="0">G21-C21</f>
        <v>26.399999999999977</v>
      </c>
      <c r="J21" s="264"/>
      <c r="K21" s="264">
        <v>0</v>
      </c>
      <c r="L21" s="264"/>
      <c r="M21" s="990"/>
      <c r="O21" s="275">
        <v>0</v>
      </c>
      <c r="P21" s="1790"/>
      <c r="Q21" s="275">
        <v>0</v>
      </c>
      <c r="R21" s="264"/>
      <c r="S21" s="264">
        <v>0</v>
      </c>
      <c r="T21" s="264"/>
      <c r="U21" s="264">
        <f>S21-O21</f>
        <v>0</v>
      </c>
      <c r="V21" s="264"/>
      <c r="W21" s="264">
        <v>0</v>
      </c>
      <c r="X21" s="264"/>
      <c r="Y21" s="1524"/>
      <c r="Z21" s="264"/>
    </row>
    <row r="22" spans="1:26">
      <c r="A22" s="350" t="s">
        <v>240</v>
      </c>
      <c r="B22" s="378" t="s">
        <v>103</v>
      </c>
      <c r="C22" s="275">
        <v>855</v>
      </c>
      <c r="D22" s="367"/>
      <c r="E22" s="275">
        <v>0</v>
      </c>
      <c r="F22" s="287"/>
      <c r="G22" s="264">
        <f>'Exhibit G State'!AC36</f>
        <v>1053.2</v>
      </c>
      <c r="H22" s="287"/>
      <c r="I22" s="264">
        <f t="shared" si="0"/>
        <v>198.20000000000005</v>
      </c>
      <c r="J22" s="287"/>
      <c r="K22" s="264">
        <v>0</v>
      </c>
      <c r="L22" s="264"/>
      <c r="M22" s="990"/>
      <c r="O22" s="275">
        <v>0</v>
      </c>
      <c r="P22" s="367"/>
      <c r="Q22" s="275">
        <v>0</v>
      </c>
      <c r="R22" s="287"/>
      <c r="S22" s="264">
        <v>0</v>
      </c>
      <c r="T22" s="287"/>
      <c r="U22" s="264">
        <f t="shared" ref="U22:U25" si="1">S22-O22</f>
        <v>0</v>
      </c>
      <c r="V22" s="287"/>
      <c r="W22" s="264">
        <v>0</v>
      </c>
      <c r="X22" s="287"/>
      <c r="Y22" s="1524"/>
      <c r="Z22" s="287"/>
    </row>
    <row r="23" spans="1:26" ht="15" customHeight="1">
      <c r="A23" s="350" t="s">
        <v>119</v>
      </c>
      <c r="B23" s="256" t="s">
        <v>103</v>
      </c>
      <c r="C23" s="275">
        <v>6840</v>
      </c>
      <c r="D23" s="1791"/>
      <c r="E23" s="275">
        <v>0</v>
      </c>
      <c r="F23" s="1197"/>
      <c r="G23" s="264">
        <f>'Exhibit G State'!AC81</f>
        <v>6939.2</v>
      </c>
      <c r="H23" s="1197"/>
      <c r="I23" s="264">
        <f t="shared" si="0"/>
        <v>99.199999999999818</v>
      </c>
      <c r="J23" s="1197"/>
      <c r="K23" s="264">
        <v>0</v>
      </c>
      <c r="L23" s="264"/>
      <c r="M23" s="990"/>
      <c r="O23" s="275">
        <v>178</v>
      </c>
      <c r="P23" s="1791"/>
      <c r="Q23" s="275">
        <v>0</v>
      </c>
      <c r="R23" s="1197"/>
      <c r="S23" s="288">
        <f>'Exhibit G Federal'!AC52</f>
        <v>190.2</v>
      </c>
      <c r="T23" s="1197"/>
      <c r="U23" s="264">
        <f t="shared" si="1"/>
        <v>12.199999999999989</v>
      </c>
      <c r="V23" s="1197"/>
      <c r="W23" s="264">
        <v>0</v>
      </c>
      <c r="X23" s="264"/>
      <c r="Y23" s="1524"/>
      <c r="Z23" s="264"/>
    </row>
    <row r="24" spans="1:26" ht="15" customHeight="1">
      <c r="A24" s="350" t="s">
        <v>120</v>
      </c>
      <c r="B24" s="256" t="s">
        <v>103</v>
      </c>
      <c r="C24" s="275">
        <v>0</v>
      </c>
      <c r="D24" s="1790"/>
      <c r="E24" s="275">
        <v>0</v>
      </c>
      <c r="F24" s="264"/>
      <c r="G24" s="288">
        <f>'Exhibit G State'!AC83</f>
        <v>0.2</v>
      </c>
      <c r="H24" s="264"/>
      <c r="I24" s="264">
        <f t="shared" si="0"/>
        <v>0.2</v>
      </c>
      <c r="J24" s="264"/>
      <c r="K24" s="264">
        <v>0</v>
      </c>
      <c r="L24" s="264"/>
      <c r="M24" s="990"/>
      <c r="O24" s="275">
        <v>26982</v>
      </c>
      <c r="P24" s="1790"/>
      <c r="Q24" s="275">
        <v>0</v>
      </c>
      <c r="R24" s="264"/>
      <c r="S24" s="288">
        <f>'Exhibit G Federal'!AC54</f>
        <v>29525.599999999999</v>
      </c>
      <c r="T24" s="264"/>
      <c r="U24" s="264">
        <f t="shared" si="1"/>
        <v>2543.5999999999985</v>
      </c>
      <c r="V24" s="264"/>
      <c r="W24" s="264">
        <v>0</v>
      </c>
      <c r="X24" s="264"/>
      <c r="Y24" s="1524"/>
      <c r="Z24" s="264"/>
    </row>
    <row r="25" spans="1:26">
      <c r="A25" s="350" t="s">
        <v>147</v>
      </c>
      <c r="B25" s="388" t="s">
        <v>103</v>
      </c>
      <c r="C25" s="835">
        <v>1443</v>
      </c>
      <c r="D25" s="1790"/>
      <c r="E25" s="835">
        <v>0</v>
      </c>
      <c r="F25" s="264"/>
      <c r="G25" s="288">
        <f>'Exhibit G State'!AC112</f>
        <v>1424.8</v>
      </c>
      <c r="H25" s="264"/>
      <c r="I25" s="264">
        <f t="shared" si="0"/>
        <v>-18.200000000000045</v>
      </c>
      <c r="J25" s="264"/>
      <c r="K25" s="264">
        <v>0</v>
      </c>
      <c r="L25" s="264"/>
      <c r="M25" s="990"/>
      <c r="N25" s="388"/>
      <c r="O25" s="835">
        <v>0</v>
      </c>
      <c r="P25" s="1790"/>
      <c r="Q25" s="835">
        <v>0</v>
      </c>
      <c r="R25" s="264"/>
      <c r="S25" s="288">
        <f>'Exhibit G Federal'!AC85</f>
        <v>0</v>
      </c>
      <c r="T25" s="264"/>
      <c r="U25" s="264">
        <f t="shared" si="1"/>
        <v>0</v>
      </c>
      <c r="V25" s="264"/>
      <c r="W25" s="264">
        <v>0</v>
      </c>
      <c r="X25" s="264"/>
      <c r="Y25" s="1524"/>
      <c r="Z25" s="264"/>
    </row>
    <row r="26" spans="1:26" ht="18" customHeight="1">
      <c r="A26" s="1216" t="s">
        <v>261</v>
      </c>
      <c r="B26" s="36" t="s">
        <v>103</v>
      </c>
      <c r="C26" s="617">
        <f>ROUND(SUM(C20:C25),1)</f>
        <v>9762</v>
      </c>
      <c r="D26" s="13"/>
      <c r="E26" s="617">
        <f>ROUND(SUM(E20:E25),1)</f>
        <v>0</v>
      </c>
      <c r="F26" s="13"/>
      <c r="G26" s="617">
        <f>ROUND(SUM(G20:G25),1)</f>
        <v>10067.799999999999</v>
      </c>
      <c r="H26" s="13"/>
      <c r="I26" s="616">
        <f>ROUND(SUM(I20:I25),1)</f>
        <v>305.8</v>
      </c>
      <c r="J26" s="13"/>
      <c r="K26" s="616">
        <f>ROUND(SUM(K20:K25),1)</f>
        <v>0</v>
      </c>
      <c r="L26" s="13"/>
      <c r="M26" s="1499"/>
      <c r="O26" s="617">
        <f>ROUND(SUM(O20:O25),1)</f>
        <v>27160</v>
      </c>
      <c r="P26" s="13"/>
      <c r="Q26" s="617">
        <f>ROUND(SUM(Q20:Q25),1)</f>
        <v>0</v>
      </c>
      <c r="R26" s="13"/>
      <c r="S26" s="616">
        <f>ROUND(SUM(S20:S25),1)</f>
        <v>29715.8</v>
      </c>
      <c r="T26" s="13"/>
      <c r="U26" s="616">
        <f>ROUND(SUM(U20:U25),1)</f>
        <v>2555.8000000000002</v>
      </c>
      <c r="V26" s="13"/>
      <c r="W26" s="616">
        <f>ROUND(SUM(W20:W25),1)</f>
        <v>0</v>
      </c>
      <c r="X26" s="13"/>
      <c r="Y26" s="13"/>
      <c r="Z26" s="13"/>
    </row>
    <row r="27" spans="1:26">
      <c r="C27" s="615"/>
      <c r="D27" s="264"/>
      <c r="E27" s="615"/>
      <c r="F27" s="264"/>
      <c r="G27" s="615"/>
      <c r="H27" s="264"/>
      <c r="I27" s="264"/>
      <c r="J27" s="264"/>
      <c r="K27" s="264"/>
      <c r="L27" s="264"/>
      <c r="M27" s="990"/>
      <c r="O27" s="615"/>
      <c r="P27" s="264"/>
      <c r="Q27" s="615"/>
      <c r="R27" s="264"/>
      <c r="S27" s="615"/>
      <c r="T27" s="264"/>
      <c r="U27" s="264"/>
      <c r="V27" s="264"/>
      <c r="W27" s="264"/>
      <c r="X27" s="264"/>
      <c r="Y27" s="264"/>
      <c r="Z27" s="264"/>
    </row>
    <row r="28" spans="1:26" ht="15.75">
      <c r="A28" s="3" t="s">
        <v>122</v>
      </c>
      <c r="C28" s="264"/>
      <c r="D28" s="264"/>
      <c r="E28" s="264"/>
      <c r="F28" s="264"/>
      <c r="G28" s="264"/>
      <c r="H28" s="264"/>
      <c r="I28" s="264"/>
      <c r="J28" s="264"/>
      <c r="K28" s="264"/>
      <c r="L28" s="264"/>
      <c r="M28" s="990"/>
      <c r="O28" s="264"/>
      <c r="P28" s="264"/>
      <c r="Q28" s="264"/>
      <c r="R28" s="264"/>
      <c r="S28" s="264"/>
      <c r="T28" s="264"/>
      <c r="U28" s="264"/>
      <c r="V28" s="264"/>
      <c r="W28" s="264"/>
      <c r="X28" s="264"/>
      <c r="Y28" s="264"/>
      <c r="Z28" s="264"/>
    </row>
    <row r="29" spans="1:26">
      <c r="A29" s="350" t="s">
        <v>243</v>
      </c>
      <c r="B29" s="378" t="s">
        <v>103</v>
      </c>
      <c r="C29" s="275">
        <v>3549</v>
      </c>
      <c r="D29" s="1790"/>
      <c r="E29" s="275">
        <v>0</v>
      </c>
      <c r="F29" s="264"/>
      <c r="G29" s="287">
        <f>'Exhibit G State'!AC99</f>
        <v>3478.2</v>
      </c>
      <c r="H29" s="264"/>
      <c r="I29" s="264">
        <f t="shared" ref="I29:I34" si="2">G29-C29</f>
        <v>-70.800000000000182</v>
      </c>
      <c r="J29" s="264"/>
      <c r="K29" s="264">
        <v>0</v>
      </c>
      <c r="L29" s="264"/>
      <c r="M29" s="990"/>
      <c r="O29" s="275">
        <v>24850</v>
      </c>
      <c r="P29" s="1790"/>
      <c r="Q29" s="275">
        <v>0</v>
      </c>
      <c r="R29" s="264"/>
      <c r="S29" s="287">
        <f>'Exhibit G Federal'!AC70</f>
        <v>23744.9</v>
      </c>
      <c r="T29" s="264"/>
      <c r="U29" s="264">
        <f t="shared" ref="U29:U34" si="3">S29-O29</f>
        <v>-1105.0999999999985</v>
      </c>
      <c r="V29" s="264"/>
      <c r="W29" s="264">
        <v>0</v>
      </c>
      <c r="X29" s="264"/>
      <c r="Y29" s="1524"/>
      <c r="Z29" s="264"/>
    </row>
    <row r="30" spans="1:26">
      <c r="A30" s="350" t="s">
        <v>244</v>
      </c>
      <c r="B30" s="378" t="s">
        <v>103</v>
      </c>
      <c r="C30" s="275">
        <v>2542</v>
      </c>
      <c r="D30" s="1790"/>
      <c r="E30" s="275">
        <v>0</v>
      </c>
      <c r="F30" s="264"/>
      <c r="G30" s="287">
        <f>'Exhibit G State'!AC101+'Exhibit G State'!AC102</f>
        <v>2572.3999999999996</v>
      </c>
      <c r="H30" s="264"/>
      <c r="I30" s="264">
        <f t="shared" si="2"/>
        <v>30.399999999999636</v>
      </c>
      <c r="J30" s="264"/>
      <c r="K30" s="264">
        <v>0</v>
      </c>
      <c r="L30" s="264"/>
      <c r="M30" s="990"/>
      <c r="O30" s="275">
        <v>505</v>
      </c>
      <c r="P30" s="1790"/>
      <c r="Q30" s="275">
        <v>0</v>
      </c>
      <c r="R30" s="264"/>
      <c r="S30" s="287">
        <f>'Exhibit G Federal'!AC72+'Exhibit G Federal'!AC73</f>
        <v>547.20000000000005</v>
      </c>
      <c r="T30" s="264"/>
      <c r="U30" s="264">
        <f t="shared" si="3"/>
        <v>42.200000000000045</v>
      </c>
      <c r="V30" s="264"/>
      <c r="W30" s="264">
        <v>0</v>
      </c>
      <c r="X30" s="264"/>
      <c r="Y30" s="1524"/>
      <c r="Z30" s="264"/>
    </row>
    <row r="31" spans="1:26">
      <c r="A31" s="350" t="s">
        <v>209</v>
      </c>
      <c r="B31" s="378" t="s">
        <v>103</v>
      </c>
      <c r="C31" s="275">
        <v>191</v>
      </c>
      <c r="D31" s="1790"/>
      <c r="E31" s="275">
        <v>0</v>
      </c>
      <c r="F31" s="264"/>
      <c r="G31" s="287">
        <f>'Exhibit G State'!AC103</f>
        <v>321.10000000000002</v>
      </c>
      <c r="H31" s="264"/>
      <c r="I31" s="264">
        <f t="shared" si="2"/>
        <v>130.10000000000002</v>
      </c>
      <c r="J31" s="264"/>
      <c r="K31" s="264">
        <v>0</v>
      </c>
      <c r="L31" s="264"/>
      <c r="M31" s="990"/>
      <c r="O31" s="275">
        <v>40</v>
      </c>
      <c r="P31" s="1790"/>
      <c r="Q31" s="275">
        <v>0</v>
      </c>
      <c r="R31" s="264"/>
      <c r="S31" s="287">
        <f>'Exhibit G Federal'!AC74</f>
        <v>95.2</v>
      </c>
      <c r="T31" s="264"/>
      <c r="U31" s="264">
        <f t="shared" si="3"/>
        <v>55.2</v>
      </c>
      <c r="V31" s="264"/>
      <c r="W31" s="264">
        <v>0</v>
      </c>
      <c r="X31" s="264"/>
      <c r="Y31" s="1524"/>
      <c r="Z31" s="264"/>
    </row>
    <row r="32" spans="1:26">
      <c r="A32" s="350" t="s">
        <v>245</v>
      </c>
      <c r="B32" s="378"/>
      <c r="C32" s="275">
        <v>0</v>
      </c>
      <c r="D32" s="378"/>
      <c r="E32" s="275">
        <v>0</v>
      </c>
      <c r="F32" s="264"/>
      <c r="G32" s="287">
        <v>0</v>
      </c>
      <c r="H32" s="264"/>
      <c r="I32" s="264">
        <f t="shared" si="2"/>
        <v>0</v>
      </c>
      <c r="J32" s="264"/>
      <c r="K32" s="264">
        <v>0</v>
      </c>
      <c r="L32" s="264"/>
      <c r="M32" s="990"/>
      <c r="O32" s="275">
        <v>0</v>
      </c>
      <c r="P32" s="378"/>
      <c r="Q32" s="275">
        <v>0</v>
      </c>
      <c r="R32" s="264"/>
      <c r="S32" s="287">
        <f>'Exhibit G Federal'!AC76</f>
        <v>0</v>
      </c>
      <c r="T32" s="264"/>
      <c r="U32" s="264">
        <f t="shared" si="3"/>
        <v>0</v>
      </c>
      <c r="V32" s="264"/>
      <c r="W32" s="264">
        <f t="shared" ref="W32:W33" si="4">S32-Q32</f>
        <v>0</v>
      </c>
      <c r="X32" s="264"/>
      <c r="Y32" s="1524"/>
      <c r="Z32" s="264"/>
    </row>
    <row r="33" spans="1:26">
      <c r="A33" s="350" t="s">
        <v>140</v>
      </c>
      <c r="B33" s="388" t="s">
        <v>103</v>
      </c>
      <c r="C33" s="275">
        <v>0</v>
      </c>
      <c r="D33" s="378"/>
      <c r="E33" s="275">
        <v>0</v>
      </c>
      <c r="F33" s="264"/>
      <c r="G33" s="275">
        <f>'Exhibit G State'!AC104</f>
        <v>0</v>
      </c>
      <c r="H33" s="264"/>
      <c r="I33" s="264">
        <f t="shared" si="2"/>
        <v>0</v>
      </c>
      <c r="J33" s="264"/>
      <c r="K33" s="264">
        <v>0</v>
      </c>
      <c r="L33" s="264"/>
      <c r="M33" s="990"/>
      <c r="N33" s="388"/>
      <c r="O33" s="275">
        <v>0</v>
      </c>
      <c r="P33" s="378"/>
      <c r="Q33" s="275">
        <v>0</v>
      </c>
      <c r="R33" s="264"/>
      <c r="S33" s="287">
        <f>'Exhibit G Federal'!AC77</f>
        <v>0</v>
      </c>
      <c r="T33" s="264"/>
      <c r="U33" s="264">
        <f t="shared" si="3"/>
        <v>0</v>
      </c>
      <c r="V33" s="264"/>
      <c r="W33" s="264">
        <f t="shared" si="4"/>
        <v>0</v>
      </c>
      <c r="X33" s="264"/>
      <c r="Y33" s="1524"/>
      <c r="Z33" s="264"/>
    </row>
    <row r="34" spans="1:26">
      <c r="A34" s="350" t="s">
        <v>248</v>
      </c>
      <c r="B34" s="388" t="s">
        <v>103</v>
      </c>
      <c r="C34" s="275">
        <v>62</v>
      </c>
      <c r="D34" s="378"/>
      <c r="E34" s="275">
        <v>0</v>
      </c>
      <c r="F34" s="264"/>
      <c r="G34" s="288">
        <f>-'Exhibit G State'!AC113</f>
        <v>63.1</v>
      </c>
      <c r="H34" s="264"/>
      <c r="I34" s="264">
        <f t="shared" si="2"/>
        <v>1.1000000000000014</v>
      </c>
      <c r="J34" s="264"/>
      <c r="K34" s="264">
        <v>0</v>
      </c>
      <c r="L34" s="264"/>
      <c r="M34" s="990"/>
      <c r="N34" s="388"/>
      <c r="O34" s="275">
        <v>613</v>
      </c>
      <c r="P34" s="378"/>
      <c r="Q34" s="275">
        <v>0</v>
      </c>
      <c r="R34" s="264"/>
      <c r="S34" s="288">
        <f>-'Exhibit G Federal'!AC86</f>
        <v>613.5</v>
      </c>
      <c r="T34" s="264"/>
      <c r="U34" s="264">
        <f t="shared" si="3"/>
        <v>0.5</v>
      </c>
      <c r="V34" s="264"/>
      <c r="W34" s="264">
        <v>0</v>
      </c>
      <c r="X34" s="264"/>
      <c r="Y34" s="1524"/>
      <c r="Z34" s="264"/>
    </row>
    <row r="35" spans="1:26" ht="18" customHeight="1">
      <c r="A35" s="1216" t="s">
        <v>270</v>
      </c>
      <c r="B35" s="36" t="s">
        <v>103</v>
      </c>
      <c r="C35" s="616">
        <f>ROUND(SUM(C29:C34),1)</f>
        <v>6344</v>
      </c>
      <c r="D35" s="13"/>
      <c r="E35" s="616">
        <f>ROUND(SUM(E29:E34),1)</f>
        <v>0</v>
      </c>
      <c r="F35" s="13"/>
      <c r="G35" s="616">
        <f>ROUND(SUM(G29:G34),1)</f>
        <v>6434.8</v>
      </c>
      <c r="H35" s="13"/>
      <c r="I35" s="616">
        <f>ROUND(SUM(I29:I34),1)</f>
        <v>90.8</v>
      </c>
      <c r="J35" s="13"/>
      <c r="K35" s="616">
        <f>ROUND(SUM(K29:K34),1)</f>
        <v>0</v>
      </c>
      <c r="L35" s="13"/>
      <c r="M35" s="1499"/>
      <c r="N35" s="36"/>
      <c r="O35" s="616">
        <f>ROUND(SUM(O29:O34),1)</f>
        <v>26008</v>
      </c>
      <c r="P35" s="13"/>
      <c r="Q35" s="616">
        <f>ROUND(SUM(Q29:Q34),1)</f>
        <v>0</v>
      </c>
      <c r="R35" s="13"/>
      <c r="S35" s="616">
        <f>ROUND(SUM(S29:S34),1)</f>
        <v>25000.799999999999</v>
      </c>
      <c r="T35" s="13"/>
      <c r="U35" s="616">
        <f>ROUND(SUM(U29:U34),1)</f>
        <v>-1007.2</v>
      </c>
      <c r="V35" s="13"/>
      <c r="W35" s="616">
        <f>ROUND(SUM(W29:W34),1)</f>
        <v>0</v>
      </c>
      <c r="X35" s="13"/>
      <c r="Y35" s="13"/>
      <c r="Z35" s="13"/>
    </row>
    <row r="36" spans="1:26">
      <c r="C36" s="615"/>
      <c r="D36" s="264"/>
      <c r="E36" s="615"/>
      <c r="F36" s="264"/>
      <c r="G36" s="615"/>
      <c r="H36" s="264"/>
      <c r="I36" s="264"/>
      <c r="J36" s="264"/>
      <c r="K36" s="264"/>
      <c r="L36" s="264"/>
      <c r="M36" s="990"/>
      <c r="O36" s="615"/>
      <c r="P36" s="264"/>
      <c r="Q36" s="615"/>
      <c r="R36" s="264"/>
      <c r="S36" s="615"/>
      <c r="T36" s="264"/>
      <c r="U36" s="264"/>
      <c r="V36" s="264"/>
      <c r="W36" s="264"/>
      <c r="X36" s="264"/>
      <c r="Y36" s="264"/>
      <c r="Z36" s="264"/>
    </row>
    <row r="37" spans="1:26" ht="15.75">
      <c r="A37" s="3" t="s">
        <v>271</v>
      </c>
      <c r="C37" s="264"/>
      <c r="D37" s="264"/>
      <c r="E37" s="264"/>
      <c r="F37" s="264"/>
      <c r="G37" s="264"/>
      <c r="H37" s="264"/>
      <c r="I37" s="264"/>
      <c r="J37" s="264"/>
      <c r="K37" s="264"/>
      <c r="L37" s="264"/>
      <c r="M37" s="990"/>
      <c r="O37" s="264"/>
      <c r="P37" s="264"/>
      <c r="Q37" s="264"/>
      <c r="R37" s="264"/>
      <c r="S37" s="264"/>
      <c r="T37" s="264"/>
      <c r="U37" s="264"/>
      <c r="V37" s="264"/>
      <c r="W37" s="264"/>
      <c r="X37" s="264"/>
      <c r="Y37" s="264"/>
      <c r="Z37" s="264"/>
    </row>
    <row r="38" spans="1:26" ht="15.75">
      <c r="A38" s="3" t="s">
        <v>272</v>
      </c>
      <c r="C38" s="264"/>
      <c r="D38" s="264"/>
      <c r="E38" s="264"/>
      <c r="F38" s="264"/>
      <c r="G38" s="264"/>
      <c r="H38" s="264"/>
      <c r="I38" s="264"/>
      <c r="J38" s="264"/>
      <c r="K38" s="264"/>
      <c r="L38" s="264"/>
      <c r="M38" s="990"/>
      <c r="O38" s="264"/>
      <c r="P38" s="264"/>
      <c r="Q38" s="264"/>
      <c r="R38" s="264"/>
      <c r="S38" s="264"/>
      <c r="T38" s="264"/>
      <c r="U38" s="264"/>
      <c r="V38" s="264"/>
      <c r="W38" s="264"/>
      <c r="X38" s="264"/>
      <c r="Y38" s="264"/>
      <c r="Z38" s="264"/>
    </row>
    <row r="39" spans="1:26" ht="15.75">
      <c r="A39" s="1216" t="s">
        <v>252</v>
      </c>
      <c r="B39" s="1215" t="s">
        <v>103</v>
      </c>
      <c r="C39" s="13">
        <f>ROUND(SUM(C26)-SUM(C35),1)</f>
        <v>3418</v>
      </c>
      <c r="D39" s="18"/>
      <c r="E39" s="13">
        <f>ROUND(SUM(E26)-SUM(E35),1)</f>
        <v>0</v>
      </c>
      <c r="F39" s="18"/>
      <c r="G39" s="13">
        <f>ROUND(SUM(G26)-SUM(G35),1)</f>
        <v>3633</v>
      </c>
      <c r="H39" s="18"/>
      <c r="I39" s="13">
        <f>ROUND(SUM(I26)-SUM(I35),1)</f>
        <v>215</v>
      </c>
      <c r="J39" s="18"/>
      <c r="K39" s="13">
        <f>ROUND(SUM(K26)-SUM(K35),1)</f>
        <v>0</v>
      </c>
      <c r="L39" s="13"/>
      <c r="M39" s="1499"/>
      <c r="N39" s="36"/>
      <c r="O39" s="13">
        <f>ROUND(SUM(O26)-SUM(O35),1)</f>
        <v>1152</v>
      </c>
      <c r="P39" s="18"/>
      <c r="Q39" s="13">
        <f>ROUND(SUM(Q26)-SUM(Q35),1)</f>
        <v>0</v>
      </c>
      <c r="R39" s="18"/>
      <c r="S39" s="13">
        <f>ROUND(SUM(S26)-SUM(S35),1)</f>
        <v>4715</v>
      </c>
      <c r="T39" s="18"/>
      <c r="U39" s="13">
        <f>ROUND(SUM(U26)-SUM(U35),1)</f>
        <v>3563</v>
      </c>
      <c r="V39" s="18"/>
      <c r="W39" s="13">
        <f>ROUND(SUM(W26)-SUM(W35),1)</f>
        <v>0</v>
      </c>
      <c r="X39" s="18"/>
      <c r="Y39" s="13"/>
      <c r="Z39" s="18"/>
    </row>
    <row r="40" spans="1:26" ht="15" customHeight="1">
      <c r="C40" s="264"/>
      <c r="D40" s="264"/>
      <c r="E40" s="264"/>
      <c r="F40" s="264"/>
      <c r="G40" s="264"/>
      <c r="H40" s="264"/>
      <c r="I40" s="13"/>
      <c r="J40" s="264"/>
      <c r="K40" s="13"/>
      <c r="L40" s="264"/>
      <c r="M40" s="1499"/>
      <c r="N40" s="36"/>
      <c r="O40" s="264"/>
      <c r="P40" s="264"/>
      <c r="Q40" s="264"/>
      <c r="R40" s="264"/>
      <c r="S40" s="264"/>
      <c r="T40" s="264"/>
      <c r="U40" s="13"/>
      <c r="V40" s="264"/>
      <c r="W40" s="13"/>
      <c r="X40" s="264"/>
      <c r="Y40" s="264"/>
      <c r="Z40" s="264"/>
    </row>
    <row r="41" spans="1:26" ht="15.75">
      <c r="A41" s="1216" t="str">
        <f>+'Exh D Governmental  '!A49</f>
        <v>Fund Balances (Deficits) at April 1</v>
      </c>
      <c r="B41" s="256" t="s">
        <v>103</v>
      </c>
      <c r="C41" s="13">
        <v>12732</v>
      </c>
      <c r="D41" s="264"/>
      <c r="E41" s="13">
        <v>0</v>
      </c>
      <c r="F41" s="264"/>
      <c r="G41" s="13">
        <v>12731.9</v>
      </c>
      <c r="H41" s="264"/>
      <c r="I41" s="13">
        <f t="shared" ref="I41" si="5">G41-C41</f>
        <v>-0.1000000000003638</v>
      </c>
      <c r="J41" s="264"/>
      <c r="K41" s="13">
        <v>0</v>
      </c>
      <c r="L41" s="13"/>
      <c r="M41" s="1794"/>
      <c r="N41" s="36"/>
      <c r="O41" s="13">
        <v>8477</v>
      </c>
      <c r="P41" s="264"/>
      <c r="Q41" s="13">
        <v>0</v>
      </c>
      <c r="R41" s="264"/>
      <c r="S41" s="13">
        <v>8476.7000000000007</v>
      </c>
      <c r="T41" s="264"/>
      <c r="U41" s="13">
        <f t="shared" ref="U41" si="6">S41-O41</f>
        <v>-0.2999999999992724</v>
      </c>
      <c r="V41" s="264"/>
      <c r="W41" s="13">
        <v>0</v>
      </c>
      <c r="X41" s="264"/>
      <c r="Y41" s="13"/>
      <c r="Z41" s="264"/>
    </row>
    <row r="42" spans="1:26" ht="18" customHeight="1" thickBot="1">
      <c r="A42" s="1216" t="str">
        <f>+'Exh D Governmental  '!A50</f>
        <v>Fund Balances (Deficits) at June 30, 2026</v>
      </c>
      <c r="B42" s="43" t="s">
        <v>103</v>
      </c>
      <c r="C42" s="674">
        <f>ROUND(SUM(C39:C41),1)</f>
        <v>16150</v>
      </c>
      <c r="D42" s="44"/>
      <c r="E42" s="674">
        <f>ROUND(SUM(E39:E41),1)</f>
        <v>0</v>
      </c>
      <c r="F42" s="44"/>
      <c r="G42" s="674">
        <f>ROUND(SUM(G39:G41),1)</f>
        <v>16364.9</v>
      </c>
      <c r="H42" s="44"/>
      <c r="I42" s="674">
        <f>ROUND(SUM(I39:I41),1)</f>
        <v>214.9</v>
      </c>
      <c r="J42" s="44"/>
      <c r="K42" s="674">
        <f>ROUND(SUM(K39:K41),1)</f>
        <v>0</v>
      </c>
      <c r="L42" s="20"/>
      <c r="M42" s="340"/>
      <c r="N42" s="36"/>
      <c r="O42" s="674">
        <f>ROUND(SUM(O39:O41),1)</f>
        <v>9629</v>
      </c>
      <c r="P42" s="44"/>
      <c r="Q42" s="674">
        <f>ROUND(SUM(Q39:Q41),1)</f>
        <v>0</v>
      </c>
      <c r="R42" s="44"/>
      <c r="S42" s="674">
        <f>ROUND(SUM(S39:S41),1)</f>
        <v>13191.7</v>
      </c>
      <c r="T42" s="44"/>
      <c r="U42" s="674">
        <f>ROUND(SUM(U39:U41),1)</f>
        <v>3562.7</v>
      </c>
      <c r="V42" s="44"/>
      <c r="W42" s="674">
        <f>ROUND(SUM(W39:W41),1)</f>
        <v>0</v>
      </c>
      <c r="X42" s="44"/>
      <c r="Y42" s="20"/>
      <c r="Z42" s="44"/>
    </row>
    <row r="43" spans="1:26" ht="15" customHeight="1" thickTop="1">
      <c r="A43" s="39"/>
      <c r="W43" s="256"/>
      <c r="X43" s="274"/>
      <c r="Y43" s="290"/>
      <c r="Z43" s="274"/>
    </row>
    <row r="44" spans="1:26">
      <c r="A44" s="385" t="str">
        <f>'Exh D Governmental  '!A52</f>
        <v>(*)  Source: 2026-27 Enacted Budget dated June 10, 2026.</v>
      </c>
    </row>
    <row r="45" spans="1:26">
      <c r="A45" s="385"/>
      <c r="B45" s="291"/>
      <c r="C45" s="274"/>
      <c r="D45" s="291"/>
      <c r="E45" s="291"/>
      <c r="F45" s="291"/>
      <c r="G45" s="291"/>
      <c r="H45" s="291"/>
      <c r="I45" s="291"/>
      <c r="J45" s="291"/>
      <c r="K45" s="291"/>
      <c r="L45" s="291"/>
      <c r="M45" s="291"/>
      <c r="N45" s="291"/>
      <c r="O45" s="291"/>
      <c r="P45" s="291"/>
      <c r="Q45" s="291"/>
      <c r="R45" s="291"/>
      <c r="S45" s="274"/>
      <c r="T45" s="291"/>
      <c r="U45" s="291"/>
      <c r="V45" s="291"/>
      <c r="W45" s="291"/>
      <c r="X45" s="291"/>
      <c r="Y45" s="291"/>
      <c r="Z45" s="291"/>
    </row>
    <row r="46" spans="1:26">
      <c r="A46" s="385"/>
      <c r="B46" s="291"/>
      <c r="C46" s="274"/>
      <c r="D46" s="291"/>
      <c r="E46" s="291"/>
      <c r="F46" s="291"/>
      <c r="G46" s="291"/>
      <c r="H46" s="291"/>
      <c r="I46" s="291"/>
      <c r="J46" s="291"/>
      <c r="K46" s="291"/>
      <c r="L46" s="291"/>
      <c r="M46" s="291"/>
      <c r="N46" s="291"/>
      <c r="O46" s="291"/>
      <c r="P46" s="291"/>
      <c r="Q46" s="291"/>
      <c r="R46" s="291"/>
      <c r="S46" s="274"/>
      <c r="T46" s="291"/>
      <c r="U46" s="291"/>
      <c r="V46" s="291"/>
      <c r="W46" s="291"/>
      <c r="X46" s="291"/>
      <c r="Y46" s="291"/>
      <c r="Z46" s="291"/>
    </row>
    <row r="47" spans="1:26">
      <c r="A47" s="372"/>
    </row>
  </sheetData>
  <customSheetViews>
    <customSheetView guid="{83D69B98-1714-4D17-901F-87B47BE66947}" scale="80" showPageBreaks="1" showGridLines="0" printArea="1" topLeftCell="A29">
      <selection activeCell="L53" sqref="L53"/>
      <pageMargins left="0.2" right="0.2" top="0.75" bottom="0.25" header="0.3" footer="0.3"/>
      <printOptions horizontalCentered="1"/>
      <pageSetup scale="50" firstPageNumber="11" orientation="landscape" useFirstPageNumber="1" r:id="rId1"/>
      <headerFooter scaleWithDoc="0" alignWithMargins="0">
        <oddFooter>&amp;C&amp;8&amp;P</oddFooter>
      </headerFooter>
    </customSheetView>
    <customSheetView guid="{F9AE1502-86F7-4AAA-AE66-F6A75A634C1B}" scale="80" showPageBreaks="1" showGridLines="0" printArea="1" topLeftCell="A15">
      <selection activeCell="L53" sqref="L53"/>
      <pageMargins left="0.2" right="0.2" top="0.75" bottom="0.25" header="0.3" footer="0.3"/>
      <printOptions horizontalCentered="1"/>
      <pageSetup scale="50" firstPageNumber="11" orientation="landscape" useFirstPageNumber="1" r:id="rId2"/>
      <headerFooter scaleWithDoc="0" alignWithMargins="0">
        <oddFooter>&amp;C&amp;8&amp;P</oddFooter>
      </headerFooter>
    </customSheetView>
    <customSheetView guid="{C41E3923-0A88-49D0-AE43-0E74D386A056}" scale="80" showPageBreaks="1" showGridLines="0" printArea="1" topLeftCell="A15">
      <selection activeCell="L53" sqref="L53"/>
      <pageMargins left="0.2" right="0.2" top="0.75" bottom="0.25" header="0.3" footer="0.3"/>
      <printOptions horizontalCentered="1"/>
      <pageSetup scale="50" firstPageNumber="11" orientation="landscape" useFirstPageNumber="1" r:id="rId3"/>
      <headerFooter scaleWithDoc="0" alignWithMargins="0">
        <oddFooter>&amp;C&amp;8&amp;P</oddFooter>
      </headerFooter>
    </customSheetView>
    <customSheetView guid="{1DF171D7-3BFC-49F6-B708-0F91FCFAB6E2}" scale="80" showPageBreaks="1" showGridLines="0" printArea="1" topLeftCell="A15">
      <selection activeCell="L53" sqref="L53"/>
      <pageMargins left="0.2" right="0.2" top="0.75" bottom="0.25" header="0.3" footer="0.3"/>
      <printOptions horizontalCentered="1"/>
      <pageSetup scale="50" firstPageNumber="11" orientation="landscape" useFirstPageNumber="1" r:id="rId4"/>
      <headerFooter scaleWithDoc="0" alignWithMargins="0">
        <oddFooter>&amp;C&amp;8&amp;P</oddFooter>
      </headerFooter>
    </customSheetView>
    <customSheetView guid="{9F00D83C-7F4F-41B5-9976-8610D9EBC976}" scale="80" showPageBreaks="1" showGridLines="0" printArea="1" topLeftCell="A15">
      <selection activeCell="L53" sqref="L53"/>
      <pageMargins left="0.2" right="0.2" top="0.75" bottom="0.25" header="0.3" footer="0.3"/>
      <printOptions horizontalCentered="1"/>
      <pageSetup scale="50" firstPageNumber="11" orientation="landscape" useFirstPageNumber="1" r:id="rId5"/>
      <headerFooter scaleWithDoc="0" alignWithMargins="0">
        <oddFooter>&amp;C&amp;8&amp;P</oddFooter>
      </headerFooter>
    </customSheetView>
    <customSheetView guid="{D1467C25-646C-4F1A-9353-0E890E575522}" scale="80" showPageBreaks="1" showGridLines="0" printArea="1" topLeftCell="A15">
      <selection activeCell="L53" sqref="L53"/>
      <pageMargins left="0.2" right="0.2" top="0.75" bottom="0.25" header="0.3" footer="0.3"/>
      <printOptions horizontalCentered="1"/>
      <pageSetup scale="50" firstPageNumber="11" orientation="landscape" useFirstPageNumber="1" r:id="rId6"/>
      <headerFooter scaleWithDoc="0" alignWithMargins="0">
        <oddFooter>&amp;C&amp;8&amp;P</oddFooter>
      </headerFooter>
    </customSheetView>
    <customSheetView guid="{3A50DD26-AAF5-43D4-97DE-BAE3367A2F29}" scale="80" showPageBreaks="1" showGridLines="0" printArea="1">
      <selection activeCell="O16" sqref="O16:Q16"/>
      <pageMargins left="0.2" right="0.2" top="0.75" bottom="0.25" header="0.3" footer="0.3"/>
      <printOptions horizontalCentered="1"/>
      <pageSetup scale="50" firstPageNumber="11" orientation="landscape" useFirstPageNumber="1" r:id="rId7"/>
      <headerFooter scaleWithDoc="0" alignWithMargins="0">
        <oddFooter>&amp;C&amp;8&amp;P</oddFooter>
      </headerFooter>
    </customSheetView>
    <customSheetView guid="{C3636880-B45B-4897-94F2-F91976416934}" scale="80" showPageBreaks="1" showGridLines="0" printArea="1" topLeftCell="A15">
      <selection activeCell="L53" sqref="L53"/>
      <pageMargins left="0.2" right="0.2" top="0.75" bottom="0.25" header="0.3" footer="0.3"/>
      <printOptions horizontalCentered="1"/>
      <pageSetup scale="50" firstPageNumber="11" orientation="landscape" useFirstPageNumber="1" r:id="rId8"/>
      <headerFooter scaleWithDoc="0" alignWithMargins="0">
        <oddFooter>&amp;C&amp;8&amp;P</oddFooter>
      </headerFooter>
    </customSheetView>
  </customSheetViews>
  <mergeCells count="2">
    <mergeCell ref="C11:I11"/>
    <mergeCell ref="O11:U11"/>
  </mergeCells>
  <printOptions horizontalCentered="1"/>
  <pageMargins left="0.2" right="0.2" top="0.75" bottom="0.25" header="0.3" footer="0.3"/>
  <pageSetup scale="50" firstPageNumber="11" orientation="landscape" useFirstPageNumber="1" r:id="rId9"/>
  <headerFooter scaleWithDoc="0" alignWithMargins="0">
    <oddFooter>&amp;C&amp;8&amp;P</oddFooter>
  </headerFooter>
  <customProperties>
    <customPr name="SheetOptions" r:id="rId10"/>
  </customProperties>
  <ignoredErrors>
    <ignoredError sqref="AA6:XFD6 B6 N6 Q6 E6 G6 I6 S6 U6 A5:A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showGridLines="0" zoomScale="90" zoomScaleNormal="90" workbookViewId="0"/>
  </sheetViews>
  <sheetFormatPr defaultColWidth="8.88671875" defaultRowHeight="15"/>
  <cols>
    <col min="1" max="1" width="47.109375" style="291" customWidth="1"/>
    <col min="2" max="2" width="2" style="256" customWidth="1"/>
    <col min="3" max="3" width="15.109375" style="128" customWidth="1"/>
    <col min="4" max="4" width="1.109375" style="256" customWidth="1"/>
    <col min="5" max="5" width="15.109375" style="128" customWidth="1"/>
    <col min="6" max="6" width="1.109375" style="256" customWidth="1"/>
    <col min="7" max="7" width="15.109375" style="256" customWidth="1"/>
    <col min="8" max="8" width="1.109375" style="256" customWidth="1"/>
    <col min="9" max="9" width="15.109375" style="256" customWidth="1"/>
    <col min="10" max="10" width="1.109375" style="256" customWidth="1"/>
    <col min="11" max="11" width="15.109375" style="256" customWidth="1"/>
    <col min="12" max="12" width="11.44140625" style="256" customWidth="1"/>
    <col min="13" max="16384" width="8.88671875" style="291"/>
  </cols>
  <sheetData>
    <row r="1" spans="1:12">
      <c r="A1" s="386" t="s">
        <v>97</v>
      </c>
      <c r="B1" s="48"/>
      <c r="C1" s="124"/>
      <c r="D1" s="48"/>
      <c r="E1" s="124"/>
      <c r="F1" s="48"/>
      <c r="G1" s="48"/>
      <c r="H1" s="48"/>
      <c r="I1" s="48"/>
      <c r="J1" s="48"/>
      <c r="K1" s="48"/>
      <c r="L1" s="48"/>
    </row>
    <row r="2" spans="1:12" ht="17.100000000000001" customHeight="1">
      <c r="A2" s="49"/>
      <c r="B2" s="48"/>
      <c r="C2" s="124"/>
      <c r="D2" s="48"/>
      <c r="E2" s="124"/>
      <c r="F2" s="48"/>
      <c r="G2" s="48"/>
      <c r="H2" s="48"/>
      <c r="I2" s="48"/>
      <c r="J2" s="48"/>
      <c r="K2" s="48"/>
      <c r="L2" s="48"/>
    </row>
    <row r="3" spans="1:12" ht="18">
      <c r="A3" s="50" t="s">
        <v>98</v>
      </c>
      <c r="B3" s="30"/>
      <c r="C3" s="125"/>
      <c r="D3" s="30"/>
      <c r="E3" s="125"/>
      <c r="F3" s="30"/>
      <c r="G3" s="30"/>
      <c r="H3" s="30"/>
      <c r="I3" s="352"/>
      <c r="J3" s="30"/>
      <c r="K3" s="352" t="s">
        <v>224</v>
      </c>
      <c r="L3" s="30"/>
    </row>
    <row r="4" spans="1:12" ht="18">
      <c r="A4" s="50" t="s">
        <v>225</v>
      </c>
      <c r="B4" s="30"/>
      <c r="C4" s="125"/>
      <c r="D4" s="30"/>
      <c r="E4" s="125"/>
      <c r="F4" s="30"/>
      <c r="G4" s="30"/>
      <c r="H4" s="30"/>
      <c r="I4" s="353"/>
      <c r="J4" s="30"/>
      <c r="K4" s="353"/>
      <c r="L4" s="30"/>
    </row>
    <row r="5" spans="1:12" ht="18">
      <c r="A5" s="1996" t="str">
        <f>'Exh D Governmental  '!A5</f>
        <v>FISCAL YEAR 2026-2027</v>
      </c>
      <c r="B5" s="23"/>
      <c r="C5" s="23"/>
      <c r="D5" s="23"/>
      <c r="E5" s="23"/>
      <c r="F5" s="30"/>
      <c r="G5" s="30"/>
      <c r="H5" s="30"/>
      <c r="I5" s="30"/>
      <c r="J5" s="30"/>
      <c r="K5" s="30"/>
      <c r="L5" s="30"/>
    </row>
    <row r="6" spans="1:12" ht="18">
      <c r="A6" s="50" t="str">
        <f>'Exh D Governmental  '!A6</f>
        <v>FOR THREE MONTHS ENDED JUNE 30, 2026</v>
      </c>
      <c r="B6" s="30"/>
      <c r="C6" s="125"/>
      <c r="D6" s="30"/>
      <c r="E6" s="125"/>
      <c r="F6" s="30"/>
      <c r="G6" s="30"/>
      <c r="H6" s="30"/>
      <c r="I6" s="30"/>
      <c r="J6" s="30"/>
      <c r="K6" s="30"/>
      <c r="L6" s="30"/>
    </row>
    <row r="7" spans="1:12" ht="18">
      <c r="A7" s="50" t="s">
        <v>226</v>
      </c>
      <c r="B7" s="30"/>
      <c r="C7" s="125"/>
      <c r="D7" s="30"/>
      <c r="E7" s="125"/>
      <c r="F7" s="30"/>
      <c r="G7" s="30"/>
      <c r="H7" s="30"/>
      <c r="I7" s="30"/>
      <c r="J7" s="30"/>
      <c r="K7" s="30"/>
      <c r="L7" s="30"/>
    </row>
    <row r="8" spans="1:12" ht="15" customHeight="1">
      <c r="A8" s="34"/>
      <c r="B8" s="30"/>
      <c r="C8" s="125"/>
      <c r="D8" s="30"/>
      <c r="E8" s="125"/>
      <c r="F8" s="30"/>
      <c r="G8" s="30"/>
      <c r="H8" s="30"/>
      <c r="I8" s="30"/>
      <c r="J8" s="30"/>
      <c r="K8" s="30"/>
      <c r="L8" s="30"/>
    </row>
    <row r="9" spans="1:12">
      <c r="A9" s="35"/>
      <c r="B9" s="30"/>
      <c r="C9" s="125"/>
      <c r="D9" s="30"/>
      <c r="E9" s="125"/>
      <c r="F9" s="30"/>
      <c r="G9" s="30"/>
      <c r="H9" s="30"/>
      <c r="I9" s="30"/>
      <c r="J9" s="30"/>
      <c r="K9" s="30"/>
      <c r="L9" s="30"/>
    </row>
    <row r="10" spans="1:12">
      <c r="A10" s="35"/>
      <c r="B10" s="30"/>
      <c r="C10" s="125"/>
      <c r="D10" s="30"/>
      <c r="E10" s="125"/>
      <c r="F10" s="30"/>
      <c r="G10" s="30"/>
      <c r="H10" s="30"/>
      <c r="I10" s="30"/>
      <c r="J10" s="30"/>
      <c r="K10" s="30"/>
      <c r="L10" s="30"/>
    </row>
    <row r="11" spans="1:12" ht="15.75">
      <c r="C11" s="2061" t="s">
        <v>279</v>
      </c>
      <c r="D11" s="2061"/>
      <c r="E11" s="2061"/>
      <c r="F11" s="2061"/>
      <c r="G11" s="2061"/>
      <c r="H11" s="2061"/>
      <c r="I11" s="2061"/>
      <c r="J11" s="426"/>
      <c r="K11" s="427"/>
      <c r="L11" s="51"/>
    </row>
    <row r="12" spans="1:12" ht="15.75">
      <c r="D12" s="52"/>
      <c r="F12" s="52"/>
      <c r="G12" s="53"/>
      <c r="H12" s="52"/>
      <c r="I12" s="52" t="s">
        <v>228</v>
      </c>
      <c r="J12" s="52"/>
      <c r="K12" s="52" t="s">
        <v>228</v>
      </c>
      <c r="L12" s="51"/>
    </row>
    <row r="13" spans="1:12" ht="15.75">
      <c r="B13" s="36"/>
      <c r="C13" s="127"/>
      <c r="D13" s="36"/>
      <c r="E13" s="127"/>
      <c r="F13" s="36"/>
      <c r="G13" s="36"/>
      <c r="H13" s="36"/>
      <c r="I13" s="37" t="s">
        <v>229</v>
      </c>
      <c r="J13" s="36"/>
      <c r="K13" s="37" t="s">
        <v>229</v>
      </c>
      <c r="L13" s="36"/>
    </row>
    <row r="14" spans="1:12" ht="15.75">
      <c r="B14" s="54"/>
      <c r="C14" s="38" t="s">
        <v>231</v>
      </c>
      <c r="D14" s="36"/>
      <c r="E14" s="37" t="s">
        <v>232</v>
      </c>
      <c r="F14" s="36"/>
      <c r="G14" s="36"/>
      <c r="H14" s="36"/>
      <c r="I14" s="37" t="s">
        <v>233</v>
      </c>
      <c r="J14" s="36"/>
      <c r="K14" s="37" t="s">
        <v>233</v>
      </c>
      <c r="L14" s="37"/>
    </row>
    <row r="15" spans="1:12" ht="15.75">
      <c r="B15" s="54"/>
      <c r="C15" s="37" t="s">
        <v>234</v>
      </c>
      <c r="D15" s="36"/>
      <c r="E15" s="37" t="s">
        <v>234</v>
      </c>
      <c r="F15" s="36"/>
      <c r="G15" s="36"/>
      <c r="H15" s="36"/>
      <c r="I15" s="37" t="s">
        <v>231</v>
      </c>
      <c r="J15" s="36"/>
      <c r="K15" s="37" t="s">
        <v>232</v>
      </c>
      <c r="L15" s="37"/>
    </row>
    <row r="16" spans="1:12" ht="15.75">
      <c r="B16" s="37"/>
      <c r="C16" s="37" t="s">
        <v>235</v>
      </c>
      <c r="D16" s="36"/>
      <c r="E16" s="37" t="s">
        <v>1491</v>
      </c>
      <c r="F16" s="36"/>
      <c r="G16" s="38" t="s">
        <v>228</v>
      </c>
      <c r="H16" s="36"/>
      <c r="I16" s="37" t="s">
        <v>236</v>
      </c>
      <c r="J16" s="36"/>
      <c r="K16" s="37" t="s">
        <v>236</v>
      </c>
      <c r="L16" s="37"/>
    </row>
    <row r="17" spans="1:12">
      <c r="A17" s="39"/>
      <c r="B17" s="30"/>
      <c r="C17" s="1005"/>
      <c r="D17" s="30"/>
      <c r="E17" s="1005"/>
      <c r="F17" s="30"/>
      <c r="G17" s="1005"/>
      <c r="H17" s="30"/>
      <c r="I17" s="1005"/>
      <c r="J17" s="30"/>
      <c r="K17" s="1005"/>
      <c r="L17" s="30"/>
    </row>
    <row r="18" spans="1:12" ht="15.75">
      <c r="A18" s="3" t="s">
        <v>114</v>
      </c>
      <c r="C18" s="256"/>
      <c r="E18" s="256"/>
    </row>
    <row r="19" spans="1:12">
      <c r="A19" s="350" t="s">
        <v>237</v>
      </c>
      <c r="B19" s="378"/>
      <c r="C19" s="256"/>
      <c r="D19" s="378"/>
      <c r="E19" s="256"/>
      <c r="F19" s="378"/>
      <c r="H19" s="378"/>
      <c r="J19" s="378"/>
    </row>
    <row r="20" spans="1:12">
      <c r="A20" s="350" t="s">
        <v>238</v>
      </c>
      <c r="B20" s="378" t="s">
        <v>103</v>
      </c>
      <c r="C20" s="277">
        <v>10116</v>
      </c>
      <c r="D20" s="276"/>
      <c r="E20" s="277">
        <v>0</v>
      </c>
      <c r="F20" s="276"/>
      <c r="G20" s="387">
        <f>'Exhibit H'!AA17</f>
        <v>10443.1</v>
      </c>
      <c r="H20" s="276"/>
      <c r="I20" s="274">
        <f>G20-C20</f>
        <v>327.10000000000036</v>
      </c>
      <c r="J20" s="276"/>
      <c r="K20" s="274">
        <v>0</v>
      </c>
      <c r="L20" s="1519"/>
    </row>
    <row r="21" spans="1:12">
      <c r="A21" s="350" t="s">
        <v>239</v>
      </c>
      <c r="B21" s="256" t="s">
        <v>103</v>
      </c>
      <c r="C21" s="275">
        <v>2582</v>
      </c>
      <c r="D21" s="1790"/>
      <c r="E21" s="275">
        <v>0</v>
      </c>
      <c r="F21" s="264"/>
      <c r="G21" s="264">
        <f>'Exhibit H'!AA21</f>
        <v>2632.1</v>
      </c>
      <c r="H21" s="264"/>
      <c r="I21" s="264">
        <f>G21-C21</f>
        <v>50.099999999999909</v>
      </c>
      <c r="J21" s="264"/>
      <c r="K21" s="264">
        <v>0</v>
      </c>
      <c r="L21" s="1519"/>
    </row>
    <row r="22" spans="1:12">
      <c r="A22" s="350" t="s">
        <v>240</v>
      </c>
      <c r="C22" s="275">
        <v>1951</v>
      </c>
      <c r="D22" s="367"/>
      <c r="E22" s="275">
        <v>0</v>
      </c>
      <c r="F22" s="287"/>
      <c r="G22" s="264">
        <f>'Exhibit H'!AA24</f>
        <v>2435.4</v>
      </c>
      <c r="H22" s="287"/>
      <c r="I22" s="264">
        <f t="shared" ref="I22:I26" si="0">G22-C22</f>
        <v>484.40000000000009</v>
      </c>
      <c r="J22" s="287"/>
      <c r="K22" s="264">
        <v>0</v>
      </c>
      <c r="L22" s="1519"/>
    </row>
    <row r="23" spans="1:12">
      <c r="A23" s="350" t="s">
        <v>241</v>
      </c>
      <c r="B23" s="256" t="s">
        <v>103</v>
      </c>
      <c r="C23" s="275">
        <v>317</v>
      </c>
      <c r="D23" s="1790"/>
      <c r="E23" s="275">
        <v>0</v>
      </c>
      <c r="F23" s="1197"/>
      <c r="G23" s="264">
        <f>'Exhibit H'!AA28</f>
        <v>321.8</v>
      </c>
      <c r="H23" s="1197"/>
      <c r="I23" s="264">
        <f t="shared" si="0"/>
        <v>4.8000000000000114</v>
      </c>
      <c r="J23" s="1197"/>
      <c r="K23" s="264">
        <v>0</v>
      </c>
      <c r="L23" s="1519"/>
    </row>
    <row r="24" spans="1:12" ht="15" customHeight="1">
      <c r="A24" s="350" t="s">
        <v>119</v>
      </c>
      <c r="B24" s="256" t="s">
        <v>103</v>
      </c>
      <c r="C24" s="275">
        <v>155</v>
      </c>
      <c r="D24" s="1791"/>
      <c r="E24" s="275">
        <v>0</v>
      </c>
      <c r="F24" s="264"/>
      <c r="G24" s="264">
        <f>'Exhibit H'!AA51</f>
        <v>188.9</v>
      </c>
      <c r="H24" s="264"/>
      <c r="I24" s="264">
        <f t="shared" si="0"/>
        <v>33.900000000000006</v>
      </c>
      <c r="J24" s="264"/>
      <c r="K24" s="264">
        <v>0</v>
      </c>
      <c r="L24" s="1519"/>
    </row>
    <row r="25" spans="1:12" ht="15" customHeight="1">
      <c r="A25" s="350" t="s">
        <v>120</v>
      </c>
      <c r="B25" s="256" t="s">
        <v>103</v>
      </c>
      <c r="C25" s="275">
        <v>27</v>
      </c>
      <c r="D25" s="1790"/>
      <c r="E25" s="275">
        <v>0</v>
      </c>
      <c r="F25" s="264"/>
      <c r="G25" s="264">
        <f>'Exhibit H'!AA53</f>
        <v>27.1</v>
      </c>
      <c r="H25" s="264"/>
      <c r="I25" s="264">
        <f t="shared" si="0"/>
        <v>0.10000000000000142</v>
      </c>
      <c r="J25" s="264"/>
      <c r="K25" s="264">
        <v>0</v>
      </c>
      <c r="L25" s="1519"/>
    </row>
    <row r="26" spans="1:12" ht="15.75">
      <c r="A26" s="350" t="s">
        <v>147</v>
      </c>
      <c r="B26" s="388" t="s">
        <v>103</v>
      </c>
      <c r="C26" s="275">
        <v>498</v>
      </c>
      <c r="D26" s="1790"/>
      <c r="E26" s="275">
        <v>0</v>
      </c>
      <c r="F26" s="13"/>
      <c r="G26" s="381">
        <f>'Exhibit H'!AA69</f>
        <v>483.9</v>
      </c>
      <c r="H26" s="13"/>
      <c r="I26" s="264">
        <f t="shared" si="0"/>
        <v>-14.100000000000023</v>
      </c>
      <c r="J26" s="13"/>
      <c r="K26" s="264">
        <v>0</v>
      </c>
      <c r="L26" s="1519"/>
    </row>
    <row r="27" spans="1:12" ht="18" customHeight="1">
      <c r="A27" s="1216" t="s">
        <v>261</v>
      </c>
      <c r="B27" s="36" t="s">
        <v>103</v>
      </c>
      <c r="C27" s="617">
        <f>ROUND(SUM(C20:C26),1)</f>
        <v>15646</v>
      </c>
      <c r="D27" s="264"/>
      <c r="E27" s="617">
        <f>ROUND(SUM(E20:E26),1)</f>
        <v>0</v>
      </c>
      <c r="F27" s="264"/>
      <c r="G27" s="617">
        <f>ROUND(SUM(G20:G26),1)</f>
        <v>16532.3</v>
      </c>
      <c r="H27" s="264"/>
      <c r="I27" s="617">
        <f>ROUND(SUM(I20:I26),1)</f>
        <v>886.3</v>
      </c>
      <c r="J27" s="264"/>
      <c r="K27" s="617">
        <f>ROUND(SUM(K20:K26),1)</f>
        <v>0</v>
      </c>
      <c r="L27" s="1519"/>
    </row>
    <row r="28" spans="1:12">
      <c r="C28" s="615"/>
      <c r="D28" s="264"/>
      <c r="E28" s="615"/>
      <c r="F28" s="264"/>
      <c r="G28" s="615"/>
      <c r="H28" s="264"/>
      <c r="I28" s="615"/>
      <c r="J28" s="264"/>
      <c r="K28" s="615"/>
      <c r="L28" s="1519"/>
    </row>
    <row r="29" spans="1:12" ht="15.75">
      <c r="A29" s="3" t="s">
        <v>122</v>
      </c>
      <c r="C29" s="264"/>
      <c r="D29" s="264"/>
      <c r="E29" s="264"/>
      <c r="F29" s="264"/>
      <c r="G29" s="264"/>
      <c r="H29" s="264"/>
      <c r="I29" s="264"/>
      <c r="J29" s="264"/>
      <c r="K29" s="264"/>
      <c r="L29" s="1519"/>
    </row>
    <row r="30" spans="1:12">
      <c r="A30" s="350" t="s">
        <v>244</v>
      </c>
      <c r="B30" s="378" t="s">
        <v>103</v>
      </c>
      <c r="C30" s="275">
        <v>1</v>
      </c>
      <c r="D30" s="1790"/>
      <c r="E30" s="275">
        <v>0</v>
      </c>
      <c r="F30" s="264"/>
      <c r="G30" s="287">
        <f>'Exhibit H'!AA59</f>
        <v>1.4</v>
      </c>
      <c r="H30" s="264"/>
      <c r="I30" s="264">
        <f t="shared" ref="I30:I32" si="1">G30-C30</f>
        <v>0.39999999999999991</v>
      </c>
      <c r="J30" s="264"/>
      <c r="K30" s="264">
        <v>0</v>
      </c>
      <c r="L30" s="1519"/>
    </row>
    <row r="31" spans="1:12" ht="14.25" customHeight="1">
      <c r="A31" s="350" t="s">
        <v>245</v>
      </c>
      <c r="B31" s="388" t="s">
        <v>103</v>
      </c>
      <c r="C31" s="275">
        <v>15</v>
      </c>
      <c r="D31" s="378"/>
      <c r="E31" s="275">
        <v>0</v>
      </c>
      <c r="F31" s="264"/>
      <c r="G31" s="275">
        <f>'Exhibit H'!AA61</f>
        <v>15</v>
      </c>
      <c r="H31" s="264"/>
      <c r="I31" s="264">
        <f t="shared" si="1"/>
        <v>0</v>
      </c>
      <c r="J31" s="264"/>
      <c r="K31" s="264">
        <v>0</v>
      </c>
      <c r="L31" s="1519"/>
    </row>
    <row r="32" spans="1:12">
      <c r="A32" s="350" t="s">
        <v>248</v>
      </c>
      <c r="B32" s="388" t="s">
        <v>103</v>
      </c>
      <c r="C32" s="275">
        <v>15418</v>
      </c>
      <c r="D32" s="378"/>
      <c r="E32" s="275">
        <v>0</v>
      </c>
      <c r="F32" s="264"/>
      <c r="G32" s="287">
        <f>-'Exhibit H'!AA70</f>
        <v>16362.4</v>
      </c>
      <c r="H32" s="264"/>
      <c r="I32" s="264">
        <f t="shared" si="1"/>
        <v>944.39999999999964</v>
      </c>
      <c r="J32" s="264"/>
      <c r="K32" s="264">
        <v>0</v>
      </c>
      <c r="L32" s="1519"/>
    </row>
    <row r="33" spans="1:12" ht="18" customHeight="1">
      <c r="A33" s="1216" t="s">
        <v>270</v>
      </c>
      <c r="B33" s="36" t="s">
        <v>103</v>
      </c>
      <c r="C33" s="617">
        <f>ROUND(SUM(C30:C32),1)</f>
        <v>15434</v>
      </c>
      <c r="D33" s="264"/>
      <c r="E33" s="617">
        <f>ROUND(SUM(E30:E32),1)</f>
        <v>0</v>
      </c>
      <c r="F33" s="264"/>
      <c r="G33" s="617">
        <f>ROUND(SUM(G30:G32),1)</f>
        <v>16378.8</v>
      </c>
      <c r="H33" s="264"/>
      <c r="I33" s="617">
        <f>ROUND(SUM(I30:I32),1)</f>
        <v>944.8</v>
      </c>
      <c r="J33" s="264"/>
      <c r="K33" s="617">
        <f>ROUND(SUM(K30:K32),1)</f>
        <v>0</v>
      </c>
      <c r="L33" s="1519"/>
    </row>
    <row r="34" spans="1:12">
      <c r="C34" s="615"/>
      <c r="D34" s="264"/>
      <c r="E34" s="615"/>
      <c r="F34" s="264"/>
      <c r="G34" s="615"/>
      <c r="H34" s="264"/>
      <c r="I34" s="615"/>
      <c r="J34" s="264"/>
      <c r="K34" s="615"/>
      <c r="L34" s="1519"/>
    </row>
    <row r="35" spans="1:12" ht="15.75">
      <c r="A35" s="3" t="s">
        <v>271</v>
      </c>
      <c r="C35" s="264"/>
      <c r="D35" s="13"/>
      <c r="E35" s="264"/>
      <c r="F35" s="13"/>
      <c r="G35" s="264"/>
      <c r="H35" s="13"/>
      <c r="I35" s="264"/>
      <c r="J35" s="13"/>
      <c r="K35" s="264"/>
      <c r="L35" s="1519"/>
    </row>
    <row r="36" spans="1:12" ht="15.75">
      <c r="A36" s="3" t="s">
        <v>272</v>
      </c>
      <c r="C36" s="264"/>
      <c r="D36" s="264"/>
      <c r="E36" s="264"/>
      <c r="F36" s="264"/>
      <c r="G36" s="264"/>
      <c r="H36" s="264"/>
      <c r="I36" s="264"/>
      <c r="J36" s="264"/>
      <c r="K36" s="264"/>
      <c r="L36" s="1519"/>
    </row>
    <row r="37" spans="1:12" ht="15.75">
      <c r="A37" s="1216" t="s">
        <v>252</v>
      </c>
      <c r="B37" s="1215" t="s">
        <v>103</v>
      </c>
      <c r="C37" s="13">
        <f>C27-C33</f>
        <v>212</v>
      </c>
      <c r="D37" s="264"/>
      <c r="E37" s="13">
        <f>E27-E33</f>
        <v>0</v>
      </c>
      <c r="F37" s="264"/>
      <c r="G37" s="13">
        <f>G27-G33</f>
        <v>153.5</v>
      </c>
      <c r="H37" s="264"/>
      <c r="I37" s="13">
        <f>ROUND(SUM(I27)-SUM(I33),1)</f>
        <v>-58.5</v>
      </c>
      <c r="J37" s="264"/>
      <c r="K37" s="13">
        <f>ROUND(SUM(K27)-SUM(K33),1)</f>
        <v>0</v>
      </c>
      <c r="L37" s="1519"/>
    </row>
    <row r="38" spans="1:12" ht="15" customHeight="1">
      <c r="C38" s="264"/>
      <c r="D38" s="264"/>
      <c r="E38" s="264"/>
      <c r="F38" s="264"/>
      <c r="G38" s="264"/>
      <c r="H38" s="264"/>
      <c r="I38" s="264"/>
      <c r="J38" s="264"/>
      <c r="K38" s="264"/>
      <c r="L38" s="1519"/>
    </row>
    <row r="39" spans="1:12" ht="15.75">
      <c r="A39" s="1216" t="str">
        <f>'Exh D Governmental  '!A49</f>
        <v>Fund Balances (Deficits) at April 1</v>
      </c>
      <c r="B39" s="256" t="s">
        <v>103</v>
      </c>
      <c r="C39" s="13">
        <v>104</v>
      </c>
      <c r="D39" s="18"/>
      <c r="E39" s="13">
        <v>0</v>
      </c>
      <c r="F39" s="18"/>
      <c r="G39" s="13">
        <v>104.7</v>
      </c>
      <c r="H39" s="18"/>
      <c r="I39" s="13">
        <f t="shared" ref="I39" si="2">G39-C39</f>
        <v>0.70000000000000284</v>
      </c>
      <c r="J39" s="18"/>
      <c r="K39" s="13">
        <v>0</v>
      </c>
      <c r="L39" s="1519"/>
    </row>
    <row r="40" spans="1:12" ht="18" customHeight="1" thickBot="1">
      <c r="A40" s="1216" t="str">
        <f>+'Exh D Governmental  '!A50</f>
        <v>Fund Balances (Deficits) at June 30, 2026</v>
      </c>
      <c r="B40" s="43" t="s">
        <v>103</v>
      </c>
      <c r="C40" s="674">
        <f>ROUND(SUM(C37:C39),1)</f>
        <v>316</v>
      </c>
      <c r="D40" s="264"/>
      <c r="E40" s="674">
        <f>ROUND(SUM(E37:E39),1)</f>
        <v>0</v>
      </c>
      <c r="F40" s="264"/>
      <c r="G40" s="674">
        <f>ROUND(SUM(G37:G39),1)</f>
        <v>258.2</v>
      </c>
      <c r="H40" s="264"/>
      <c r="I40" s="674">
        <f>ROUND(SUM(I37:I39),1)</f>
        <v>-57.8</v>
      </c>
      <c r="J40" s="264"/>
      <c r="K40" s="674">
        <f>ROUND(SUM(K37:K39),1)</f>
        <v>0</v>
      </c>
      <c r="L40" s="1519"/>
    </row>
    <row r="41" spans="1:12" ht="15" customHeight="1" thickTop="1">
      <c r="A41" s="39"/>
      <c r="C41" s="290"/>
      <c r="D41" s="264"/>
      <c r="E41" s="290"/>
      <c r="F41" s="264"/>
      <c r="G41" s="274"/>
      <c r="H41" s="264"/>
      <c r="I41" s="274"/>
      <c r="J41" s="264"/>
      <c r="K41" s="274"/>
    </row>
    <row r="42" spans="1:12" ht="15.75">
      <c r="A42" s="385" t="str">
        <f>'Exh D Governmental  '!A52</f>
        <v>(*)  Source: 2026-27 Enacted Budget dated June 10, 2026.</v>
      </c>
      <c r="D42" s="44"/>
      <c r="F42" s="44"/>
      <c r="H42" s="44"/>
      <c r="J42" s="44"/>
    </row>
    <row r="43" spans="1:12">
      <c r="A43" s="385"/>
    </row>
    <row r="44" spans="1:12">
      <c r="A44" s="350"/>
    </row>
  </sheetData>
  <customSheetViews>
    <customSheetView guid="{83D69B98-1714-4D17-901F-87B47BE66947}" scale="90" showPageBreaks="1" showGridLines="0" fitToPage="1" printArea="1" topLeftCell="A28">
      <selection activeCell="L53" sqref="L53"/>
      <pageMargins left="0.75" right="0.75" top="0.75" bottom="0.75" header="0.5" footer="0.25"/>
      <printOptions horizontalCentered="1"/>
      <pageSetup scale="77" firstPageNumber="12"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15">
      <selection activeCell="L53" sqref="L53"/>
      <pageMargins left="0.75" right="0.75" top="0.75" bottom="0.75" header="0.5" footer="0.25"/>
      <printOptions horizontalCentered="1"/>
      <pageSetup scale="10" firstPageNumber="12"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15">
      <selection activeCell="L53" sqref="L53"/>
      <pageMargins left="0.75" right="0.75" top="0.75" bottom="0.75" header="0.5" footer="0.25"/>
      <printOptions horizontalCentered="1"/>
      <pageSetup scale="77" firstPageNumber="12"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15">
      <selection activeCell="L53" sqref="L53"/>
      <pageMargins left="0.75" right="0.75" top="0.75" bottom="0.75" header="0.5" footer="0.25"/>
      <printOptions horizontalCentered="1"/>
      <pageSetup scale="77" firstPageNumber="12"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15">
      <selection activeCell="L53" sqref="L53"/>
      <pageMargins left="0.75" right="0.75" top="0.75" bottom="0.75" header="0.5" footer="0.25"/>
      <printOptions horizontalCentered="1"/>
      <pageSetup scale="76" firstPageNumber="12"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15">
      <selection activeCell="L53" sqref="L53"/>
      <pageMargins left="0.75" right="0.75" top="0.75" bottom="0.75" header="0.5" footer="0.25"/>
      <printOptions horizontalCentered="1"/>
      <pageSetup scale="16" firstPageNumber="12" orientation="landscape" useFirstPageNumber="1" r:id="rId6"/>
      <headerFooter scaleWithDoc="0" alignWithMargins="0">
        <oddFooter>&amp;C&amp;8&amp;P</oddFooter>
      </headerFooter>
    </customSheetView>
    <customSheetView guid="{3A50DD26-AAF5-43D4-97DE-BAE3367A2F29}" scale="90" showPageBreaks="1" showGridLines="0" fitToPage="1" printArea="1">
      <selection activeCell="C16" sqref="C16:E16"/>
      <pageMargins left="0.75" right="0.75" top="0.75" bottom="0.75" header="0.5" footer="0.25"/>
      <printOptions horizontalCentered="1"/>
      <pageSetup scale="77" firstPageNumber="12"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15">
      <selection activeCell="L53" sqref="L53"/>
      <pageMargins left="0.75" right="0.75" top="0.75" bottom="0.75" header="0.5" footer="0.25"/>
      <printOptions horizontalCentered="1"/>
      <pageSetup scale="78" firstPageNumber="12" orientation="landscape" useFirstPageNumber="1" r:id="rId8"/>
      <headerFooter scaleWithDoc="0" alignWithMargins="0">
        <oddFooter>&amp;C&amp;8&amp;P</oddFooter>
      </headerFooter>
    </customSheetView>
  </customSheetViews>
  <mergeCells count="1">
    <mergeCell ref="C11:I11"/>
  </mergeCells>
  <printOptions horizontalCentered="1"/>
  <pageMargins left="0.75" right="0.75" top="0.75" bottom="0.75" header="0.5" footer="0.25"/>
  <pageSetup scale="78" firstPageNumber="12" orientation="landscape" useFirstPageNumber="1" r:id="rId9"/>
  <headerFooter scaleWithDoc="0" alignWithMargins="0">
    <oddFooter>&amp;C&amp;8&amp;P</oddFooter>
  </headerFooter>
  <customProperties>
    <customPr name="SheetOptions" r:id="rId10"/>
  </customProperties>
  <ignoredErrors>
    <ignoredError sqref="A5"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49"/>
  <sheetViews>
    <sheetView showGridLines="0" zoomScale="90" zoomScaleNormal="90" workbookViewId="0"/>
  </sheetViews>
  <sheetFormatPr defaultColWidth="8.88671875" defaultRowHeight="15"/>
  <cols>
    <col min="1" max="1" width="51.88671875" style="291" customWidth="1"/>
    <col min="2" max="2" width="2.109375" style="256" customWidth="1"/>
    <col min="3" max="3" width="15.88671875" style="128" customWidth="1"/>
    <col min="4" max="4" width="1.109375" style="256" customWidth="1"/>
    <col min="5" max="5" width="15.88671875" style="128" customWidth="1"/>
    <col min="6" max="6" width="1.109375" style="256" customWidth="1"/>
    <col min="7" max="7" width="15.88671875" style="256" customWidth="1"/>
    <col min="8" max="8" width="1.109375" style="256" customWidth="1"/>
    <col min="9" max="9" width="15.88671875" style="256" customWidth="1"/>
    <col min="10" max="10" width="1.109375" style="256" customWidth="1"/>
    <col min="11" max="11" width="15.88671875" style="256" customWidth="1"/>
    <col min="12" max="12" width="1.109375" style="256" customWidth="1"/>
    <col min="13" max="13" width="15.88671875" style="256" customWidth="1"/>
    <col min="14" max="14" width="1.109375" style="256" customWidth="1"/>
    <col min="15" max="15" width="15.88671875" style="256" customWidth="1"/>
    <col min="16" max="16" width="9.88671875" style="256" bestFit="1" customWidth="1"/>
    <col min="17" max="16384" width="8.88671875" style="291"/>
  </cols>
  <sheetData>
    <row r="1" spans="1:16">
      <c r="A1" s="265" t="s">
        <v>97</v>
      </c>
      <c r="D1" s="48"/>
      <c r="F1" s="48"/>
      <c r="H1" s="48"/>
      <c r="J1" s="48"/>
      <c r="L1" s="48"/>
      <c r="N1" s="48"/>
    </row>
    <row r="2" spans="1:16" ht="16.5">
      <c r="A2" s="47"/>
      <c r="B2" s="48"/>
      <c r="C2" s="124"/>
      <c r="D2" s="48"/>
      <c r="E2" s="124"/>
      <c r="F2" s="48"/>
      <c r="G2" s="48"/>
      <c r="H2" s="48"/>
      <c r="I2" s="48"/>
      <c r="J2" s="48"/>
      <c r="K2" s="48"/>
      <c r="L2" s="48"/>
      <c r="M2" s="48"/>
      <c r="N2" s="48"/>
    </row>
    <row r="3" spans="1:16" ht="18">
      <c r="A3" s="50" t="s">
        <v>98</v>
      </c>
      <c r="B3" s="30"/>
      <c r="C3" s="125"/>
      <c r="D3" s="30"/>
      <c r="E3" s="125"/>
      <c r="F3" s="30"/>
      <c r="G3" s="30"/>
      <c r="H3" s="30"/>
      <c r="I3" s="30"/>
      <c r="J3" s="30"/>
      <c r="K3" s="30"/>
      <c r="L3" s="30"/>
      <c r="M3" s="352"/>
      <c r="N3" s="30"/>
      <c r="O3" s="352" t="s">
        <v>224</v>
      </c>
    </row>
    <row r="4" spans="1:16" ht="18">
      <c r="A4" s="50" t="s">
        <v>225</v>
      </c>
      <c r="B4" s="30"/>
      <c r="C4" s="125"/>
      <c r="D4" s="30"/>
      <c r="E4" s="125"/>
      <c r="F4" s="30"/>
      <c r="G4" s="30"/>
      <c r="H4" s="30"/>
      <c r="I4" s="30"/>
      <c r="J4" s="30"/>
      <c r="K4" s="30"/>
      <c r="L4" s="30"/>
      <c r="M4" s="353"/>
      <c r="N4" s="30"/>
      <c r="O4" s="353"/>
    </row>
    <row r="5" spans="1:16" ht="18">
      <c r="A5" s="1996" t="str">
        <f>'Exh D Governmental  '!A5</f>
        <v>FISCAL YEAR 2026-2027</v>
      </c>
      <c r="B5" s="23"/>
      <c r="C5" s="23"/>
      <c r="D5" s="23"/>
      <c r="E5" s="23"/>
      <c r="F5" s="30"/>
      <c r="G5" s="30"/>
      <c r="H5" s="30"/>
      <c r="I5" s="30"/>
      <c r="J5" s="30"/>
      <c r="K5" s="30"/>
      <c r="L5" s="30"/>
      <c r="M5" s="30"/>
      <c r="N5" s="30"/>
    </row>
    <row r="6" spans="1:16" ht="18">
      <c r="A6" s="540" t="str">
        <f>+'Exh D Governmental  '!A6</f>
        <v>FOR THREE MONTHS ENDED JUNE 30, 2026</v>
      </c>
      <c r="B6" s="30"/>
      <c r="C6" s="125"/>
      <c r="D6" s="30"/>
      <c r="E6" s="125"/>
      <c r="F6" s="30"/>
      <c r="G6" s="30"/>
      <c r="H6" s="30"/>
      <c r="I6" s="30"/>
      <c r="J6" s="30"/>
      <c r="K6" s="30"/>
      <c r="L6" s="30"/>
      <c r="M6" s="30"/>
      <c r="N6" s="30"/>
      <c r="O6" s="30"/>
      <c r="P6" s="30"/>
    </row>
    <row r="7" spans="1:16" ht="18">
      <c r="A7" s="50" t="s">
        <v>226</v>
      </c>
      <c r="B7" s="30"/>
      <c r="C7" s="125"/>
      <c r="D7" s="30"/>
      <c r="E7" s="125"/>
      <c r="F7" s="30"/>
      <c r="G7" s="30"/>
      <c r="H7" s="30"/>
      <c r="I7" s="30"/>
      <c r="J7" s="30"/>
      <c r="K7" s="30"/>
      <c r="L7" s="30"/>
      <c r="M7" s="30"/>
      <c r="N7" s="30"/>
    </row>
    <row r="8" spans="1:16" ht="18">
      <c r="A8" s="34"/>
      <c r="B8" s="30"/>
      <c r="C8" s="125"/>
      <c r="D8" s="30"/>
      <c r="E8" s="125"/>
      <c r="F8" s="30"/>
      <c r="G8" s="30"/>
      <c r="H8" s="30"/>
      <c r="I8" s="30"/>
      <c r="J8" s="30"/>
      <c r="K8" s="30"/>
      <c r="L8" s="30"/>
      <c r="M8" s="30"/>
      <c r="N8" s="30"/>
    </row>
    <row r="9" spans="1:16">
      <c r="A9" s="35"/>
      <c r="B9" s="30"/>
      <c r="C9" s="125"/>
      <c r="D9" s="30"/>
      <c r="E9" s="125"/>
      <c r="F9" s="30"/>
      <c r="G9" s="30"/>
      <c r="H9" s="30"/>
      <c r="I9" s="30"/>
      <c r="J9" s="30"/>
      <c r="K9" s="30"/>
      <c r="L9" s="30"/>
      <c r="M9" s="30"/>
      <c r="N9" s="30"/>
    </row>
    <row r="10" spans="1:16">
      <c r="A10" s="35"/>
      <c r="B10" s="30"/>
      <c r="C10" s="125"/>
      <c r="D10" s="30"/>
      <c r="E10" s="125"/>
      <c r="F10" s="30"/>
      <c r="G10" s="30"/>
      <c r="H10" s="30"/>
      <c r="I10" s="30"/>
      <c r="J10" s="30"/>
      <c r="K10" s="30"/>
      <c r="L10" s="30"/>
      <c r="M10" s="30"/>
      <c r="N10" s="30"/>
    </row>
    <row r="11" spans="1:16" ht="15.75">
      <c r="B11" s="36"/>
      <c r="C11" s="1008"/>
      <c r="D11" s="427"/>
      <c r="E11" s="1008"/>
      <c r="F11" s="582"/>
      <c r="G11" s="1217"/>
      <c r="H11" s="582"/>
      <c r="I11" s="1217" t="s">
        <v>280</v>
      </c>
      <c r="J11" s="582"/>
      <c r="K11" s="582"/>
      <c r="L11" s="582"/>
      <c r="M11" s="582"/>
      <c r="N11" s="1006"/>
      <c r="O11" s="1006"/>
    </row>
    <row r="12" spans="1:16" ht="15.75">
      <c r="B12" s="36"/>
      <c r="C12" s="36"/>
      <c r="D12" s="52"/>
      <c r="E12" s="36"/>
      <c r="F12" s="52"/>
      <c r="G12" s="36"/>
      <c r="H12" s="52"/>
      <c r="I12" s="36"/>
      <c r="J12" s="52"/>
      <c r="K12" s="36"/>
      <c r="L12" s="52"/>
      <c r="M12" s="37" t="s">
        <v>228</v>
      </c>
      <c r="N12" s="52"/>
      <c r="O12" s="37" t="s">
        <v>228</v>
      </c>
    </row>
    <row r="13" spans="1:16" ht="15.75">
      <c r="B13" s="36"/>
      <c r="C13" s="36"/>
      <c r="D13" s="36"/>
      <c r="E13" s="36"/>
      <c r="F13" s="36"/>
      <c r="G13" s="36"/>
      <c r="H13" s="36"/>
      <c r="I13" s="36"/>
      <c r="J13" s="36"/>
      <c r="K13" s="36"/>
      <c r="L13" s="36"/>
      <c r="M13" s="37" t="s">
        <v>229</v>
      </c>
      <c r="N13" s="36"/>
      <c r="O13" s="37" t="s">
        <v>229</v>
      </c>
    </row>
    <row r="14" spans="1:16" ht="15.75">
      <c r="B14" s="36"/>
      <c r="C14" s="38" t="s">
        <v>231</v>
      </c>
      <c r="D14" s="36"/>
      <c r="E14" s="37" t="s">
        <v>232</v>
      </c>
      <c r="F14" s="36"/>
      <c r="G14" s="36"/>
      <c r="H14" s="36"/>
      <c r="I14" s="36"/>
      <c r="J14" s="36"/>
      <c r="K14" s="36"/>
      <c r="L14" s="36"/>
      <c r="M14" s="37" t="s">
        <v>233</v>
      </c>
      <c r="N14" s="36"/>
      <c r="O14" s="37" t="s">
        <v>233</v>
      </c>
    </row>
    <row r="15" spans="1:16" ht="15.75" customHeight="1">
      <c r="B15" s="36"/>
      <c r="C15" s="37" t="s">
        <v>234</v>
      </c>
      <c r="D15" s="36"/>
      <c r="E15" s="37" t="s">
        <v>234</v>
      </c>
      <c r="F15" s="36"/>
      <c r="G15" s="36"/>
      <c r="H15" s="36"/>
      <c r="I15" s="36"/>
      <c r="J15" s="36"/>
      <c r="K15" s="36"/>
      <c r="L15" s="36"/>
      <c r="M15" s="37" t="s">
        <v>231</v>
      </c>
      <c r="N15" s="36"/>
      <c r="O15" s="37" t="s">
        <v>232</v>
      </c>
    </row>
    <row r="16" spans="1:16" ht="15.75">
      <c r="B16" s="36"/>
      <c r="C16" s="37" t="s">
        <v>235</v>
      </c>
      <c r="D16" s="36"/>
      <c r="E16" s="37" t="s">
        <v>1491</v>
      </c>
      <c r="F16" s="36"/>
      <c r="G16" s="38" t="s">
        <v>228</v>
      </c>
      <c r="H16" s="36"/>
      <c r="I16" s="430" t="s">
        <v>275</v>
      </c>
      <c r="J16" s="36"/>
      <c r="K16" s="430" t="s">
        <v>276</v>
      </c>
      <c r="L16" s="36"/>
      <c r="M16" s="37" t="s">
        <v>236</v>
      </c>
      <c r="N16" s="36"/>
      <c r="O16" s="37" t="s">
        <v>236</v>
      </c>
    </row>
    <row r="17" spans="1:16">
      <c r="A17" s="39"/>
      <c r="B17" s="30"/>
      <c r="C17" s="1005"/>
      <c r="D17" s="30"/>
      <c r="E17" s="1005"/>
      <c r="F17" s="30"/>
      <c r="G17" s="1005"/>
      <c r="H17" s="30"/>
      <c r="I17" s="30"/>
      <c r="J17" s="30"/>
      <c r="K17" s="30"/>
      <c r="L17" s="30"/>
      <c r="M17" s="1005"/>
      <c r="N17" s="30"/>
      <c r="O17" s="1005"/>
    </row>
    <row r="18" spans="1:16" ht="15.75">
      <c r="A18" s="3" t="s">
        <v>114</v>
      </c>
      <c r="C18" s="256"/>
      <c r="E18" s="256"/>
      <c r="G18" s="256" t="s">
        <v>103</v>
      </c>
    </row>
    <row r="19" spans="1:16">
      <c r="A19" s="350" t="s">
        <v>237</v>
      </c>
      <c r="B19" s="378" t="s">
        <v>103</v>
      </c>
      <c r="C19" s="274"/>
      <c r="D19" s="378"/>
      <c r="E19" s="274"/>
      <c r="F19" s="378"/>
      <c r="G19" s="389"/>
      <c r="H19" s="378"/>
      <c r="I19" s="276"/>
      <c r="J19" s="378"/>
      <c r="K19" s="276"/>
      <c r="L19" s="378"/>
      <c r="M19" s="274"/>
      <c r="N19" s="378"/>
      <c r="O19" s="274"/>
    </row>
    <row r="20" spans="1:16">
      <c r="A20" s="350" t="s">
        <v>239</v>
      </c>
      <c r="B20" s="256" t="s">
        <v>103</v>
      </c>
      <c r="C20" s="387">
        <v>153</v>
      </c>
      <c r="D20" s="1790"/>
      <c r="E20" s="387">
        <v>0</v>
      </c>
      <c r="F20" s="276"/>
      <c r="G20" s="387">
        <f>+'Exh D Captl Projects State Fed'!G20</f>
        <v>150.30000000000001</v>
      </c>
      <c r="H20" s="276"/>
      <c r="I20" s="387">
        <v>0</v>
      </c>
      <c r="J20" s="276"/>
      <c r="K20" s="585">
        <f>+G20+I20</f>
        <v>150.30000000000001</v>
      </c>
      <c r="L20" s="276"/>
      <c r="M20" s="585">
        <f>K20-C20</f>
        <v>-2.6999999999999886</v>
      </c>
      <c r="N20" s="276"/>
      <c r="O20" s="274">
        <v>0</v>
      </c>
      <c r="P20" s="1510"/>
    </row>
    <row r="21" spans="1:16">
      <c r="A21" s="350" t="s">
        <v>240</v>
      </c>
      <c r="B21" s="378" t="s">
        <v>103</v>
      </c>
      <c r="C21" s="275">
        <v>134</v>
      </c>
      <c r="D21" s="367"/>
      <c r="E21" s="275">
        <v>0</v>
      </c>
      <c r="F21" s="264"/>
      <c r="G21" s="288">
        <f>+'Exh D Captl Projects State Fed'!G21</f>
        <v>138.9</v>
      </c>
      <c r="H21" s="264"/>
      <c r="I21" s="275">
        <v>0</v>
      </c>
      <c r="J21" s="264"/>
      <c r="K21" s="586">
        <f t="shared" ref="K21:K26" si="0">+G21+I21</f>
        <v>138.9</v>
      </c>
      <c r="L21" s="264"/>
      <c r="M21" s="586">
        <f t="shared" ref="M21:M26" si="1">K21-C21</f>
        <v>4.9000000000000057</v>
      </c>
      <c r="N21" s="264"/>
      <c r="O21" s="264">
        <v>0</v>
      </c>
      <c r="P21" s="1510"/>
    </row>
    <row r="22" spans="1:16">
      <c r="A22" s="350" t="s">
        <v>241</v>
      </c>
      <c r="B22" s="256" t="s">
        <v>103</v>
      </c>
      <c r="C22" s="275">
        <v>26</v>
      </c>
      <c r="D22" s="1790"/>
      <c r="E22" s="275">
        <v>0</v>
      </c>
      <c r="F22" s="287"/>
      <c r="G22" s="288">
        <f>+'Exh D Captl Projects State Fed'!G22</f>
        <v>25.7</v>
      </c>
      <c r="H22" s="287"/>
      <c r="I22" s="275">
        <v>0</v>
      </c>
      <c r="J22" s="287"/>
      <c r="K22" s="586">
        <f>+G22+I22</f>
        <v>25.7</v>
      </c>
      <c r="L22" s="287"/>
      <c r="M22" s="586">
        <f t="shared" si="1"/>
        <v>-0.30000000000000071</v>
      </c>
      <c r="N22" s="287"/>
      <c r="O22" s="264">
        <v>0</v>
      </c>
      <c r="P22" s="1510"/>
    </row>
    <row r="23" spans="1:16">
      <c r="A23" s="350" t="s">
        <v>119</v>
      </c>
      <c r="B23" s="256" t="s">
        <v>103</v>
      </c>
      <c r="C23" s="275">
        <v>2532</v>
      </c>
      <c r="D23" s="1791"/>
      <c r="E23" s="275">
        <v>0</v>
      </c>
      <c r="F23" s="1197"/>
      <c r="G23" s="264">
        <f>+'Exh D Captl Projects State Fed'!G23+'Exh D Captl Projects State Fed'!S23</f>
        <v>2537.1000000000004</v>
      </c>
      <c r="H23" s="1197"/>
      <c r="I23" s="264">
        <v>0</v>
      </c>
      <c r="J23" s="1197"/>
      <c r="K23" s="586">
        <f t="shared" si="0"/>
        <v>2537.1000000000004</v>
      </c>
      <c r="L23" s="1197"/>
      <c r="M23" s="586">
        <f t="shared" si="1"/>
        <v>5.1000000000003638</v>
      </c>
      <c r="N23" s="1197"/>
      <c r="O23" s="264">
        <v>0</v>
      </c>
      <c r="P23" s="1510"/>
    </row>
    <row r="24" spans="1:16">
      <c r="A24" s="350" t="s">
        <v>120</v>
      </c>
      <c r="B24" s="256" t="s">
        <v>103</v>
      </c>
      <c r="C24" s="275">
        <v>508</v>
      </c>
      <c r="D24" s="1790"/>
      <c r="E24" s="275">
        <v>0</v>
      </c>
      <c r="F24" s="264"/>
      <c r="G24" s="264">
        <f>+'Exh D Captl Projects State Fed'!G24+'Exh D Captl Projects State Fed'!S24</f>
        <v>378.7</v>
      </c>
      <c r="H24" s="264"/>
      <c r="I24" s="264">
        <v>0</v>
      </c>
      <c r="J24" s="264"/>
      <c r="K24" s="586">
        <f t="shared" si="0"/>
        <v>378.7</v>
      </c>
      <c r="L24" s="264"/>
      <c r="M24" s="586">
        <f t="shared" si="1"/>
        <v>-129.30000000000001</v>
      </c>
      <c r="N24" s="264"/>
      <c r="O24" s="264">
        <v>0</v>
      </c>
      <c r="P24" s="1510"/>
    </row>
    <row r="25" spans="1:16">
      <c r="A25" s="350" t="s">
        <v>247</v>
      </c>
      <c r="B25" s="256" t="s">
        <v>103</v>
      </c>
      <c r="C25" s="275">
        <v>0</v>
      </c>
      <c r="D25" s="1790"/>
      <c r="E25" s="275">
        <v>0</v>
      </c>
      <c r="F25" s="264"/>
      <c r="G25" s="275">
        <f>+'Exh D Captl Projects State Fed'!G25+'Exh D Captl Projects State Fed'!S25</f>
        <v>0</v>
      </c>
      <c r="H25" s="264"/>
      <c r="I25" s="264">
        <v>0</v>
      </c>
      <c r="J25" s="264"/>
      <c r="K25" s="275">
        <f t="shared" si="0"/>
        <v>0</v>
      </c>
      <c r="L25" s="264"/>
      <c r="M25" s="275">
        <f t="shared" si="1"/>
        <v>0</v>
      </c>
      <c r="N25" s="264"/>
      <c r="O25" s="264">
        <v>0</v>
      </c>
      <c r="P25" s="1510"/>
    </row>
    <row r="26" spans="1:16" ht="15.75">
      <c r="A26" s="350" t="s">
        <v>147</v>
      </c>
      <c r="B26" s="256" t="s">
        <v>103</v>
      </c>
      <c r="C26" s="275">
        <v>-257</v>
      </c>
      <c r="D26" s="1790"/>
      <c r="E26" s="275">
        <v>0</v>
      </c>
      <c r="F26" s="13"/>
      <c r="G26" s="287">
        <f>+'Exh D Captl Projects State Fed'!G26+'Exh D Captl Projects State Fed'!S26</f>
        <v>-262.5</v>
      </c>
      <c r="H26" s="13"/>
      <c r="I26" s="264">
        <f>'Exhibit I'!AC91</f>
        <v>0</v>
      </c>
      <c r="J26" s="13"/>
      <c r="K26" s="586">
        <f t="shared" si="0"/>
        <v>-262.5</v>
      </c>
      <c r="L26" s="13"/>
      <c r="M26" s="586">
        <f t="shared" si="1"/>
        <v>-5.5</v>
      </c>
      <c r="N26" s="13"/>
      <c r="O26" s="264">
        <v>0</v>
      </c>
      <c r="P26" s="1510"/>
    </row>
    <row r="27" spans="1:16" ht="18" customHeight="1">
      <c r="A27" s="1216" t="s">
        <v>261</v>
      </c>
      <c r="B27" s="36" t="s">
        <v>103</v>
      </c>
      <c r="C27" s="617">
        <f>ROUND(SUM(C20:C26),1)</f>
        <v>3096</v>
      </c>
      <c r="D27" s="264"/>
      <c r="E27" s="617">
        <f>ROUND(SUM(E20:E26),1)</f>
        <v>0</v>
      </c>
      <c r="F27" s="264"/>
      <c r="G27" s="617">
        <f>ROUND(SUM(G20:G26),1)</f>
        <v>2968.2</v>
      </c>
      <c r="H27" s="264"/>
      <c r="I27" s="616">
        <f>ROUND(SUM(I20:I26),1)</f>
        <v>0</v>
      </c>
      <c r="J27" s="264"/>
      <c r="K27" s="616">
        <f>ROUND(SUM(K20:K26),1)</f>
        <v>2968.2</v>
      </c>
      <c r="L27" s="264"/>
      <c r="M27" s="616">
        <f>ROUND(SUM(M20:M26),1)</f>
        <v>-127.8</v>
      </c>
      <c r="N27" s="264"/>
      <c r="O27" s="617">
        <f>ROUND(SUM(O20:O26),1)</f>
        <v>0</v>
      </c>
      <c r="P27" s="1510"/>
    </row>
    <row r="28" spans="1:16">
      <c r="B28" s="256" t="s">
        <v>103</v>
      </c>
      <c r="C28" s="615"/>
      <c r="D28" s="264"/>
      <c r="E28" s="615"/>
      <c r="F28" s="264"/>
      <c r="G28" s="615"/>
      <c r="H28" s="264"/>
      <c r="I28" s="264"/>
      <c r="J28" s="264"/>
      <c r="K28" s="264"/>
      <c r="L28" s="264"/>
      <c r="M28" s="264" t="s">
        <v>103</v>
      </c>
      <c r="N28" s="264"/>
      <c r="O28" s="615" t="s">
        <v>103</v>
      </c>
      <c r="P28" s="1510"/>
    </row>
    <row r="29" spans="1:16" ht="15.75">
      <c r="A29" s="3" t="s">
        <v>122</v>
      </c>
      <c r="B29" s="256" t="s">
        <v>103</v>
      </c>
      <c r="C29" s="264"/>
      <c r="D29" s="264"/>
      <c r="E29" s="264"/>
      <c r="F29" s="264"/>
      <c r="G29" s="264"/>
      <c r="H29" s="264"/>
      <c r="I29" s="264"/>
      <c r="J29" s="264"/>
      <c r="K29" s="264"/>
      <c r="L29" s="264"/>
      <c r="M29" s="264"/>
      <c r="N29" s="264"/>
      <c r="O29" s="264"/>
      <c r="P29" s="1510"/>
    </row>
    <row r="30" spans="1:16">
      <c r="A30" s="350" t="s">
        <v>243</v>
      </c>
      <c r="B30" s="256" t="s">
        <v>103</v>
      </c>
      <c r="C30" s="275">
        <v>1145</v>
      </c>
      <c r="D30" s="1790"/>
      <c r="E30" s="275">
        <v>0</v>
      </c>
      <c r="F30" s="264"/>
      <c r="G30" s="264">
        <f>+'Exh D Captl Projects State Fed'!G30+'Exh D Captl Projects State Fed'!S30</f>
        <v>1348.7</v>
      </c>
      <c r="H30" s="264"/>
      <c r="I30" s="264">
        <v>0</v>
      </c>
      <c r="J30" s="264"/>
      <c r="K30" s="586">
        <f>+G30+I30</f>
        <v>1348.7</v>
      </c>
      <c r="L30" s="264"/>
      <c r="M30" s="586">
        <f t="shared" ref="M30:M32" si="2">K30-C30</f>
        <v>203.70000000000005</v>
      </c>
      <c r="N30" s="264"/>
      <c r="O30" s="264">
        <v>0</v>
      </c>
      <c r="P30" s="1510"/>
    </row>
    <row r="31" spans="1:16">
      <c r="A31" s="350" t="s">
        <v>140</v>
      </c>
      <c r="B31" s="256" t="s">
        <v>103</v>
      </c>
      <c r="C31" s="275">
        <v>2481</v>
      </c>
      <c r="D31" s="1790"/>
      <c r="E31" s="275">
        <v>0</v>
      </c>
      <c r="F31" s="264"/>
      <c r="G31" s="264">
        <f>+'Exh D Captl Projects State Fed'!G31+'Exh D Captl Projects State Fed'!S31</f>
        <v>2291.8000000000002</v>
      </c>
      <c r="H31" s="264"/>
      <c r="I31" s="264">
        <v>0</v>
      </c>
      <c r="J31" s="264"/>
      <c r="K31" s="586">
        <f>+G31+I31</f>
        <v>2291.8000000000002</v>
      </c>
      <c r="L31" s="264"/>
      <c r="M31" s="586">
        <f t="shared" si="2"/>
        <v>-189.19999999999982</v>
      </c>
      <c r="N31" s="264"/>
      <c r="O31" s="264">
        <v>0</v>
      </c>
      <c r="P31" s="1510"/>
    </row>
    <row r="32" spans="1:16">
      <c r="A32" s="350" t="s">
        <v>248</v>
      </c>
      <c r="B32" s="256" t="s">
        <v>103</v>
      </c>
      <c r="C32" s="275">
        <v>0</v>
      </c>
      <c r="D32" s="1790"/>
      <c r="E32" s="275">
        <v>0</v>
      </c>
      <c r="F32" s="264"/>
      <c r="G32" s="264">
        <f>+'Exh D Captl Projects State Fed'!G32+'Exh D Captl Projects State Fed'!S32</f>
        <v>3.4</v>
      </c>
      <c r="H32" s="264"/>
      <c r="I32" s="264">
        <f>-'Exhibit I'!AC92</f>
        <v>0</v>
      </c>
      <c r="J32" s="264"/>
      <c r="K32" s="586">
        <f>+G32+I32</f>
        <v>3.4</v>
      </c>
      <c r="L32" s="264"/>
      <c r="M32" s="586">
        <f t="shared" si="2"/>
        <v>3.4</v>
      </c>
      <c r="N32" s="264"/>
      <c r="O32" s="264">
        <v>0</v>
      </c>
      <c r="P32" s="1510"/>
    </row>
    <row r="33" spans="1:16" ht="18" customHeight="1">
      <c r="A33" s="1216" t="s">
        <v>270</v>
      </c>
      <c r="B33" s="36" t="s">
        <v>103</v>
      </c>
      <c r="C33" s="617">
        <f>ROUND(SUM(C30:C32),1)</f>
        <v>3626</v>
      </c>
      <c r="D33" s="264"/>
      <c r="E33" s="617">
        <f>ROUND(SUM(E30:E32),1)</f>
        <v>0</v>
      </c>
      <c r="F33" s="264"/>
      <c r="G33" s="617">
        <f>ROUND(SUM(G30:G32),1)</f>
        <v>3643.9</v>
      </c>
      <c r="H33" s="264"/>
      <c r="I33" s="616">
        <f>ROUND(SUM(I30:I32),1)</f>
        <v>0</v>
      </c>
      <c r="J33" s="264"/>
      <c r="K33" s="616">
        <f>ROUND(SUM(K30:K32),1)</f>
        <v>3643.9</v>
      </c>
      <c r="L33" s="264"/>
      <c r="M33" s="616">
        <f>ROUND(SUM(M30:M32),1)</f>
        <v>17.899999999999999</v>
      </c>
      <c r="N33" s="264"/>
      <c r="O33" s="617">
        <f>ROUND(SUM(O30:O32),1)</f>
        <v>0</v>
      </c>
      <c r="P33" s="1510"/>
    </row>
    <row r="34" spans="1:16">
      <c r="B34" s="256" t="s">
        <v>103</v>
      </c>
      <c r="C34" s="615"/>
      <c r="D34" s="264"/>
      <c r="E34" s="615"/>
      <c r="F34" s="264"/>
      <c r="G34" s="615"/>
      <c r="H34" s="264"/>
      <c r="I34" s="264"/>
      <c r="J34" s="264"/>
      <c r="K34" s="264"/>
      <c r="L34" s="264"/>
      <c r="M34" s="264"/>
      <c r="N34" s="264"/>
      <c r="O34" s="615"/>
      <c r="P34" s="1510"/>
    </row>
    <row r="35" spans="1:16" ht="15.75">
      <c r="A35" s="3" t="s">
        <v>250</v>
      </c>
      <c r="C35" s="264"/>
      <c r="D35" s="13"/>
      <c r="E35" s="264"/>
      <c r="F35" s="13"/>
      <c r="G35" s="264"/>
      <c r="H35" s="13"/>
      <c r="I35" s="264"/>
      <c r="J35" s="13"/>
      <c r="K35" s="264"/>
      <c r="L35" s="13"/>
      <c r="M35" s="264"/>
      <c r="N35" s="13"/>
      <c r="O35" s="264"/>
      <c r="P35" s="1510"/>
    </row>
    <row r="36" spans="1:16" ht="15.75">
      <c r="A36" s="3" t="s">
        <v>251</v>
      </c>
      <c r="C36" s="264"/>
      <c r="D36" s="264"/>
      <c r="E36" s="264"/>
      <c r="F36" s="264"/>
      <c r="G36" s="264"/>
      <c r="H36" s="264"/>
      <c r="I36" s="264"/>
      <c r="J36" s="264"/>
      <c r="K36" s="264"/>
      <c r="L36" s="264"/>
      <c r="M36" s="264"/>
      <c r="N36" s="264"/>
      <c r="O36" s="264"/>
      <c r="P36" s="1510"/>
    </row>
    <row r="37" spans="1:16" ht="15.75">
      <c r="A37" s="1216" t="s">
        <v>252</v>
      </c>
      <c r="B37" s="42"/>
      <c r="C37" s="13">
        <f>ROUND(SUM(C27)-SUM(C33),1)</f>
        <v>-530</v>
      </c>
      <c r="D37" s="264"/>
      <c r="E37" s="13">
        <f>ROUND(SUM(E27)-SUM(E33),1)</f>
        <v>0</v>
      </c>
      <c r="F37" s="264"/>
      <c r="G37" s="13">
        <f>ROUND(SUM(G27)-SUM(G33),1)</f>
        <v>-675.7</v>
      </c>
      <c r="H37" s="264"/>
      <c r="I37" s="18">
        <v>0</v>
      </c>
      <c r="J37" s="264"/>
      <c r="K37" s="13">
        <f>ROUND(SUM(K27)-SUM(K33),1)</f>
        <v>-675.7</v>
      </c>
      <c r="L37" s="264"/>
      <c r="M37" s="13">
        <f>ROUND(SUM(M27)-SUM(M33),1)</f>
        <v>-145.69999999999999</v>
      </c>
      <c r="N37" s="264"/>
      <c r="O37" s="13">
        <f>ROUND(SUM(O27)-SUM(O33),1)</f>
        <v>0</v>
      </c>
      <c r="P37" s="1510"/>
    </row>
    <row r="38" spans="1:16">
      <c r="C38" s="264"/>
      <c r="D38" s="264"/>
      <c r="E38" s="264"/>
      <c r="F38" s="264"/>
      <c r="G38" s="264"/>
      <c r="H38" s="264"/>
      <c r="I38" s="264"/>
      <c r="J38" s="264"/>
      <c r="K38" s="264"/>
      <c r="L38" s="264"/>
      <c r="M38" s="264"/>
      <c r="N38" s="264"/>
      <c r="O38" s="264"/>
      <c r="P38" s="1510"/>
    </row>
    <row r="39" spans="1:16" ht="15.75">
      <c r="A39" s="1216" t="str">
        <f>+'Exh D Governmental  '!A49</f>
        <v>Fund Balances (Deficits) at April 1</v>
      </c>
      <c r="B39" s="384" t="s">
        <v>103</v>
      </c>
      <c r="C39" s="26">
        <f>'Exh D Captl Projects State Fed'!C39+'Exh D Captl Projects State Fed'!O39</f>
        <v>-2483</v>
      </c>
      <c r="D39" s="18"/>
      <c r="E39" s="26">
        <f>'Exh D Captl Projects State Fed'!E39+'Exh D Captl Projects State Fed'!Q39</f>
        <v>0</v>
      </c>
      <c r="F39" s="18"/>
      <c r="G39" s="13">
        <f>'Exhibit I'!E13</f>
        <v>-2483.1</v>
      </c>
      <c r="H39" s="18"/>
      <c r="I39" s="13">
        <v>0</v>
      </c>
      <c r="J39" s="18"/>
      <c r="K39" s="618">
        <f>+G39+I39</f>
        <v>-2483.1</v>
      </c>
      <c r="L39" s="18"/>
      <c r="M39" s="618">
        <f t="shared" ref="M39" si="3">K39-C39</f>
        <v>-9.9999999999909051E-2</v>
      </c>
      <c r="N39" s="18"/>
      <c r="O39" s="13">
        <v>0</v>
      </c>
      <c r="P39" s="1510"/>
    </row>
    <row r="40" spans="1:16" ht="16.5" thickBot="1">
      <c r="A40" s="1216" t="str">
        <f>+'Exh D Governmental  '!A50</f>
        <v>Fund Balances (Deficits) at June 30, 2026</v>
      </c>
      <c r="B40" s="43" t="s">
        <v>103</v>
      </c>
      <c r="C40" s="674">
        <f>ROUND(SUM(C37:C39),1)</f>
        <v>-3013</v>
      </c>
      <c r="D40" s="264"/>
      <c r="E40" s="674">
        <f>ROUND(SUM(E37:E39),1)</f>
        <v>0</v>
      </c>
      <c r="F40" s="264"/>
      <c r="G40" s="674">
        <f>ROUND(SUM(G37:G39),1)</f>
        <v>-3158.8</v>
      </c>
      <c r="H40" s="264"/>
      <c r="I40" s="674">
        <f>ROUND(SUM(I37:I39),1)</f>
        <v>0</v>
      </c>
      <c r="J40" s="264"/>
      <c r="K40" s="674">
        <f>ROUND(SUM(K37:K39),1)</f>
        <v>-3158.8</v>
      </c>
      <c r="L40" s="264"/>
      <c r="M40" s="674">
        <f>ROUND(SUM(M37:M39),1)</f>
        <v>-145.80000000000001</v>
      </c>
      <c r="N40" s="264"/>
      <c r="O40" s="674">
        <f>ROUND(SUM(O37:O39),1)</f>
        <v>0</v>
      </c>
      <c r="P40" s="1510"/>
    </row>
    <row r="41" spans="1:16" ht="15.75" thickTop="1">
      <c r="C41" s="256"/>
      <c r="D41" s="264"/>
      <c r="E41" s="256"/>
      <c r="F41" s="264"/>
      <c r="G41" s="268"/>
      <c r="H41" s="264"/>
      <c r="J41" s="264"/>
      <c r="L41" s="264"/>
      <c r="N41" s="264"/>
    </row>
    <row r="42" spans="1:16" ht="15.75">
      <c r="A42" s="678" t="str">
        <f>'Exh D Governmental  '!A52</f>
        <v>(*)  Source: 2026-27 Enacted Budget dated June 10, 2026.</v>
      </c>
      <c r="D42" s="44"/>
      <c r="F42" s="44"/>
      <c r="H42" s="44"/>
      <c r="J42" s="44"/>
      <c r="L42" s="44"/>
      <c r="N42" s="44"/>
    </row>
    <row r="43" spans="1:16">
      <c r="A43" s="385"/>
      <c r="G43" s="380"/>
      <c r="M43" s="380"/>
      <c r="O43" s="388"/>
    </row>
    <row r="44" spans="1:16">
      <c r="A44" s="350"/>
    </row>
    <row r="45" spans="1:16">
      <c r="A45" s="350"/>
      <c r="D45" s="291"/>
      <c r="F45" s="291"/>
      <c r="H45" s="291"/>
      <c r="J45" s="291"/>
      <c r="L45" s="291"/>
      <c r="N45" s="291"/>
    </row>
    <row r="46" spans="1:16">
      <c r="A46" s="412"/>
      <c r="D46" s="291"/>
      <c r="F46" s="291"/>
      <c r="H46" s="291"/>
      <c r="J46" s="291"/>
      <c r="L46" s="291"/>
      <c r="N46" s="291"/>
    </row>
    <row r="47" spans="1:16">
      <c r="A47" s="46"/>
    </row>
    <row r="48" spans="1:16">
      <c r="D48" s="291"/>
      <c r="F48" s="291"/>
      <c r="H48" s="291"/>
      <c r="J48" s="291"/>
      <c r="L48" s="291"/>
      <c r="N48" s="291"/>
    </row>
    <row r="49" spans="4:14">
      <c r="D49" s="291"/>
      <c r="F49" s="291"/>
      <c r="H49" s="291"/>
      <c r="J49" s="291"/>
      <c r="L49" s="291"/>
      <c r="N49" s="291"/>
    </row>
  </sheetData>
  <customSheetViews>
    <customSheetView guid="{83D69B98-1714-4D17-901F-87B47BE66947}" scale="90" showPageBreaks="1" showGridLines="0" printArea="1" topLeftCell="A35">
      <selection activeCell="L53" sqref="L53"/>
      <pageMargins left="0.7" right="0.7" top="0.75" bottom="0.75" header="0.3" footer="0.3"/>
      <printOptions horizontalCentered="1"/>
      <pageSetup scale="56" firstPageNumber="13" orientation="landscape" useFirstPageNumber="1" r:id="rId1"/>
      <headerFooter scaleWithDoc="0" alignWithMargins="0">
        <oddFooter>&amp;C&amp;8&amp;P</oddFooter>
      </headerFooter>
    </customSheetView>
    <customSheetView guid="{F9AE1502-86F7-4AAA-AE66-F6A75A634C1B}" scale="90" showPageBreaks="1" showGridLines="0" printArea="1">
      <selection activeCell="L53" sqref="L53"/>
      <pageMargins left="0.7" right="0.7" top="0.75" bottom="0.75" header="0.3" footer="0.3"/>
      <printOptions horizontalCentered="1"/>
      <pageSetup scale="60" firstPageNumber="13" orientation="landscape" useFirstPageNumber="1" r:id="rId2"/>
      <headerFooter scaleWithDoc="0" alignWithMargins="0">
        <oddFooter>&amp;C&amp;8&amp;P</oddFooter>
      </headerFooter>
    </customSheetView>
    <customSheetView guid="{C41E3923-0A88-49D0-AE43-0E74D386A056}" scale="90" showPageBreaks="1" showGridLines="0" printArea="1" topLeftCell="A11">
      <selection activeCell="A47" sqref="A47"/>
      <pageMargins left="0.7" right="0.7" top="0.75" bottom="0.75" header="0.3" footer="0.3"/>
      <printOptions horizontalCentered="1"/>
      <pageSetup scale="60" firstPageNumber="13" orientation="landscape" useFirstPageNumber="1" r:id="rId3"/>
      <headerFooter scaleWithDoc="0" alignWithMargins="0">
        <oddFooter>&amp;C&amp;8&amp;P</oddFooter>
      </headerFooter>
    </customSheetView>
    <customSheetView guid="{1DF171D7-3BFC-49F6-B708-0F91FCFAB6E2}" scale="90" showPageBreaks="1" showGridLines="0" printArea="1">
      <selection activeCell="L53" sqref="L53"/>
      <pageMargins left="0.7" right="0.7" top="0.75" bottom="0.75" header="0.3" footer="0.3"/>
      <printOptions horizontalCentered="1"/>
      <pageSetup scale="60" firstPageNumber="13" orientation="landscape" useFirstPageNumber="1" r:id="rId4"/>
      <headerFooter scaleWithDoc="0" alignWithMargins="0">
        <oddFooter>&amp;C&amp;8&amp;P</oddFooter>
      </headerFooter>
    </customSheetView>
    <customSheetView guid="{9F00D83C-7F4F-41B5-9976-8610D9EBC976}" scale="90" showPageBreaks="1" showGridLines="0" printArea="1">
      <selection activeCell="L53" sqref="L53"/>
      <pageMargins left="0.7" right="0.7" top="0.75" bottom="0.75" header="0.3" footer="0.3"/>
      <printOptions horizontalCentered="1"/>
      <pageSetup scale="60" firstPageNumber="13" orientation="landscape" useFirstPageNumber="1" r:id="rId5"/>
      <headerFooter scaleWithDoc="0" alignWithMargins="0">
        <oddFooter>&amp;C&amp;8&amp;P</oddFooter>
      </headerFooter>
    </customSheetView>
    <customSheetView guid="{D1467C25-646C-4F1A-9353-0E890E575522}" scale="90" showPageBreaks="1" showGridLines="0" printArea="1">
      <selection activeCell="L53" sqref="L53"/>
      <pageMargins left="0.7" right="0.7" top="0.75" bottom="0.75" header="0.3" footer="0.3"/>
      <printOptions horizontalCentered="1"/>
      <pageSetup scale="60" firstPageNumber="13" orientation="landscape" useFirstPageNumber="1" r:id="rId6"/>
      <headerFooter scaleWithDoc="0" alignWithMargins="0">
        <oddFooter>&amp;C&amp;8&amp;P</oddFooter>
      </headerFooter>
    </customSheetView>
    <customSheetView guid="{3A50DD26-AAF5-43D4-97DE-BAE3367A2F29}" scale="90" showPageBreaks="1" showGridLines="0" fitToPage="1" printArea="1" topLeftCell="A9">
      <selection activeCell="C16" sqref="C16:E16"/>
      <pageMargins left="0.7" right="0.7" top="0.75" bottom="0.75" header="0.3" footer="0.3"/>
      <printOptions horizontalCentered="1"/>
      <pageSetup scale="59" firstPageNumber="13" orientation="landscape" useFirstPageNumber="1" r:id="rId7"/>
      <headerFooter scaleWithDoc="0" alignWithMargins="0">
        <oddFooter>&amp;C&amp;8&amp;P</oddFooter>
      </headerFooter>
    </customSheetView>
    <customSheetView guid="{C3636880-B45B-4897-94F2-F91976416934}" scale="90" showPageBreaks="1" showGridLines="0" printArea="1">
      <selection activeCell="L53" sqref="L53"/>
      <pageMargins left="0.7" right="0.7" top="0.75" bottom="0.75" header="0.3" footer="0.3"/>
      <printOptions horizontalCentered="1"/>
      <pageSetup scale="60" firstPageNumber="13" orientation="landscape" useFirstPageNumber="1" r:id="rId8"/>
      <headerFooter scaleWithDoc="0" alignWithMargins="0">
        <oddFooter>&amp;C&amp;8&amp;P</oddFooter>
      </headerFooter>
    </customSheetView>
  </customSheetViews>
  <printOptions horizontalCentered="1"/>
  <pageMargins left="0.7" right="0.7" top="0.75" bottom="0.75" header="0.3" footer="0.3"/>
  <pageSetup scale="59" firstPageNumber="13" orientation="landscape" useFirstPageNumber="1" r:id="rId9"/>
  <headerFooter scaleWithDoc="0" alignWithMargins="0">
    <oddFooter>&amp;C&amp;8&amp;P</oddFooter>
  </headerFooter>
  <customProperties>
    <customPr name="SheetOptions" r:id="rId10"/>
  </customProperties>
  <ignoredErrors>
    <ignoredError sqref="A5"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Y52"/>
  <sheetViews>
    <sheetView showGridLines="0" zoomScale="90" zoomScaleNormal="90" workbookViewId="0"/>
  </sheetViews>
  <sheetFormatPr defaultColWidth="8.88671875" defaultRowHeight="15"/>
  <cols>
    <col min="1" max="1" width="51.88671875" style="291" customWidth="1"/>
    <col min="2" max="2" width="2.109375" style="256" customWidth="1"/>
    <col min="3" max="3" width="15.88671875" style="128" customWidth="1"/>
    <col min="4" max="4" width="1.109375" style="256" customWidth="1"/>
    <col min="5" max="5" width="15.88671875" style="128" customWidth="1"/>
    <col min="6" max="6" width="1.109375" style="256" customWidth="1"/>
    <col min="7" max="7" width="15.88671875" style="256" customWidth="1"/>
    <col min="8" max="8" width="1.109375" style="256" customWidth="1"/>
    <col min="9" max="9" width="15.88671875" style="256" customWidth="1"/>
    <col min="10" max="10" width="1.109375" style="256" customWidth="1"/>
    <col min="11" max="11" width="15.88671875" style="256" customWidth="1"/>
    <col min="12" max="14" width="1.109375" style="256" customWidth="1"/>
    <col min="15" max="15" width="15.88671875" style="256" customWidth="1"/>
    <col min="16" max="16" width="1.109375" style="256" customWidth="1"/>
    <col min="17" max="17" width="15.88671875" style="256" customWidth="1"/>
    <col min="18" max="18" width="1.109375" style="256" customWidth="1"/>
    <col min="19" max="19" width="15.88671875" style="256" customWidth="1"/>
    <col min="20" max="20" width="1.109375" style="256" customWidth="1"/>
    <col min="21" max="21" width="15.88671875" style="256" customWidth="1"/>
    <col min="22" max="22" width="1.109375" style="256" customWidth="1"/>
    <col min="23" max="23" width="15.88671875" style="128" customWidth="1"/>
    <col min="24" max="24" width="0.88671875" style="256" customWidth="1"/>
    <col min="25" max="25" width="15.88671875" style="128" customWidth="1"/>
    <col min="26" max="16384" width="8.88671875" style="291"/>
  </cols>
  <sheetData>
    <row r="1" spans="1:25">
      <c r="A1" s="386" t="s">
        <v>97</v>
      </c>
      <c r="D1" s="48"/>
      <c r="F1" s="48"/>
      <c r="H1" s="48"/>
      <c r="J1" s="48"/>
      <c r="N1" s="48"/>
      <c r="P1" s="48"/>
      <c r="R1" s="48"/>
      <c r="T1" s="48"/>
      <c r="V1" s="48"/>
    </row>
    <row r="2" spans="1:25" ht="16.5">
      <c r="A2" s="47"/>
      <c r="B2" s="48"/>
      <c r="C2" s="124"/>
      <c r="D2" s="48"/>
      <c r="E2" s="124"/>
      <c r="F2" s="48"/>
      <c r="G2" s="48"/>
      <c r="H2" s="48"/>
      <c r="I2" s="48"/>
      <c r="J2" s="48"/>
      <c r="K2" s="48"/>
      <c r="L2" s="48"/>
      <c r="M2" s="48"/>
      <c r="N2" s="48"/>
      <c r="O2" s="48"/>
      <c r="P2" s="48"/>
      <c r="Q2" s="48"/>
      <c r="R2" s="48"/>
      <c r="S2" s="48"/>
      <c r="T2" s="48"/>
      <c r="U2" s="48"/>
      <c r="V2" s="48"/>
      <c r="W2" s="124"/>
      <c r="X2" s="48"/>
      <c r="Y2" s="124"/>
    </row>
    <row r="3" spans="1:25" ht="18">
      <c r="A3" s="50" t="s">
        <v>98</v>
      </c>
      <c r="B3" s="30"/>
      <c r="C3" s="125"/>
      <c r="D3" s="30"/>
      <c r="E3" s="125"/>
      <c r="F3" s="30"/>
      <c r="G3" s="30"/>
      <c r="H3" s="30"/>
      <c r="I3" s="30"/>
      <c r="J3" s="30"/>
      <c r="K3" s="30"/>
      <c r="L3" s="30"/>
      <c r="M3" s="30"/>
      <c r="N3" s="30"/>
      <c r="O3" s="30"/>
      <c r="P3" s="30"/>
      <c r="Q3" s="30"/>
      <c r="R3" s="30"/>
      <c r="S3" s="30"/>
      <c r="T3" s="30"/>
      <c r="U3" s="352"/>
      <c r="V3" s="30"/>
      <c r="W3" s="352" t="s">
        <v>224</v>
      </c>
      <c r="X3" s="30"/>
      <c r="Y3" s="125"/>
    </row>
    <row r="4" spans="1:25" ht="18">
      <c r="A4" s="50" t="s">
        <v>281</v>
      </c>
      <c r="B4" s="30"/>
      <c r="C4" s="125"/>
      <c r="D4" s="30"/>
      <c r="E4" s="125"/>
      <c r="F4" s="30"/>
      <c r="G4" s="30"/>
      <c r="H4" s="30"/>
      <c r="I4" s="30"/>
      <c r="J4" s="30"/>
      <c r="K4" s="30"/>
      <c r="L4" s="30"/>
      <c r="M4" s="30"/>
      <c r="N4" s="30"/>
      <c r="O4" s="30"/>
      <c r="P4" s="30"/>
      <c r="Q4" s="30"/>
      <c r="R4" s="30"/>
      <c r="S4" s="30"/>
      <c r="T4" s="30"/>
      <c r="U4" s="353"/>
      <c r="V4" s="30"/>
      <c r="W4" s="353"/>
      <c r="X4" s="30"/>
      <c r="Y4" s="125"/>
    </row>
    <row r="5" spans="1:25" ht="18">
      <c r="A5" s="1996" t="str">
        <f>'Exh D Governmental  '!A5</f>
        <v>FISCAL YEAR 2026-2027</v>
      </c>
      <c r="B5" s="23"/>
      <c r="C5" s="23"/>
      <c r="D5" s="23"/>
      <c r="E5" s="23"/>
      <c r="F5" s="30"/>
      <c r="G5" s="30"/>
      <c r="H5" s="30"/>
      <c r="I5" s="30"/>
      <c r="J5" s="30"/>
      <c r="K5" s="30"/>
      <c r="L5" s="30"/>
      <c r="M5" s="30"/>
      <c r="N5" s="30"/>
      <c r="O5" s="30"/>
      <c r="P5" s="30"/>
      <c r="Q5" s="30"/>
      <c r="R5" s="30"/>
      <c r="S5" s="30"/>
      <c r="T5" s="30"/>
      <c r="U5" s="30"/>
      <c r="V5" s="30"/>
      <c r="W5" s="125"/>
      <c r="X5" s="30"/>
      <c r="Y5" s="125"/>
    </row>
    <row r="6" spans="1:25" ht="18">
      <c r="A6" s="540" t="str">
        <f>'Exh D Governmental  '!A6</f>
        <v>FOR THREE MONTHS ENDED JUNE 30, 2026</v>
      </c>
      <c r="B6" s="30"/>
      <c r="C6" s="125"/>
      <c r="D6" s="30"/>
      <c r="E6" s="125"/>
      <c r="F6" s="30"/>
      <c r="G6" s="30"/>
      <c r="H6" s="30"/>
      <c r="I6" s="30"/>
      <c r="J6" s="30"/>
      <c r="K6" s="30"/>
      <c r="L6" s="30"/>
      <c r="M6" s="30"/>
      <c r="N6" s="30"/>
      <c r="O6" s="30"/>
      <c r="P6" s="30"/>
      <c r="Q6" s="30"/>
      <c r="R6" s="30"/>
      <c r="S6" s="30"/>
      <c r="T6" s="30"/>
      <c r="U6" s="30"/>
      <c r="V6" s="30"/>
      <c r="W6" s="125"/>
      <c r="X6" s="30"/>
      <c r="Y6" s="125"/>
    </row>
    <row r="7" spans="1:25" ht="18">
      <c r="A7" s="50" t="s">
        <v>226</v>
      </c>
      <c r="B7" s="30"/>
      <c r="C7" s="125"/>
      <c r="D7" s="30"/>
      <c r="E7" s="125"/>
      <c r="F7" s="30"/>
      <c r="G7" s="30"/>
      <c r="H7" s="30"/>
      <c r="I7" s="30"/>
      <c r="J7" s="30"/>
      <c r="K7" s="30"/>
      <c r="L7" s="30"/>
      <c r="M7" s="30"/>
      <c r="N7" s="30"/>
      <c r="O7" s="30"/>
      <c r="P7" s="30"/>
      <c r="Q7" s="30"/>
      <c r="R7" s="30"/>
      <c r="S7" s="30"/>
      <c r="T7" s="30"/>
      <c r="U7" s="30"/>
      <c r="V7" s="30"/>
      <c r="W7" s="125"/>
      <c r="X7" s="30"/>
      <c r="Y7" s="125"/>
    </row>
    <row r="8" spans="1:25" ht="18">
      <c r="A8" s="34"/>
      <c r="B8" s="30"/>
      <c r="C8" s="125"/>
      <c r="D8" s="30"/>
      <c r="E8" s="125"/>
      <c r="F8" s="30"/>
      <c r="G8" s="30"/>
      <c r="H8" s="30"/>
      <c r="I8" s="30"/>
      <c r="J8" s="30"/>
      <c r="K8" s="30"/>
      <c r="L8" s="30"/>
      <c r="M8" s="30"/>
      <c r="N8" s="30"/>
      <c r="O8" s="30"/>
      <c r="P8" s="30"/>
      <c r="Q8" s="30"/>
      <c r="R8" s="30"/>
      <c r="S8" s="30"/>
      <c r="T8" s="30"/>
      <c r="U8" s="30"/>
      <c r="V8" s="30"/>
      <c r="W8" s="125"/>
      <c r="X8" s="30"/>
      <c r="Y8" s="125"/>
    </row>
    <row r="9" spans="1:25">
      <c r="A9" s="35"/>
      <c r="B9" s="30"/>
      <c r="C9" s="125"/>
      <c r="D9" s="30"/>
      <c r="E9" s="125"/>
      <c r="F9" s="30"/>
      <c r="G9" s="30"/>
      <c r="H9" s="30"/>
      <c r="I9" s="30"/>
      <c r="J9" s="30"/>
      <c r="K9" s="30"/>
      <c r="L9" s="30"/>
      <c r="M9" s="30"/>
      <c r="N9" s="30"/>
      <c r="O9" s="30"/>
      <c r="P9" s="30"/>
      <c r="Q9" s="30"/>
      <c r="R9" s="30"/>
      <c r="S9" s="30"/>
      <c r="T9" s="30"/>
      <c r="U9" s="30"/>
      <c r="V9" s="30"/>
      <c r="W9" s="125"/>
      <c r="X9" s="30"/>
      <c r="Y9" s="125"/>
    </row>
    <row r="10" spans="1:25">
      <c r="A10" s="35"/>
      <c r="B10" s="30"/>
      <c r="C10" s="125"/>
      <c r="D10" s="30"/>
      <c r="E10" s="125"/>
      <c r="F10" s="30"/>
      <c r="G10" s="30"/>
      <c r="H10" s="30"/>
      <c r="I10" s="30"/>
      <c r="J10" s="30"/>
      <c r="K10" s="30"/>
      <c r="L10" s="30"/>
      <c r="M10" s="30"/>
      <c r="N10" s="30"/>
      <c r="O10" s="125"/>
      <c r="P10" s="30"/>
      <c r="Q10" s="125"/>
      <c r="R10" s="30"/>
      <c r="S10" s="30"/>
      <c r="T10" s="30"/>
      <c r="U10" s="30"/>
      <c r="V10" s="30"/>
      <c r="W10" s="125"/>
      <c r="X10" s="30"/>
      <c r="Y10" s="125"/>
    </row>
    <row r="11" spans="1:25" ht="15.75">
      <c r="B11" s="36"/>
      <c r="C11" s="2061" t="s">
        <v>282</v>
      </c>
      <c r="D11" s="2061"/>
      <c r="E11" s="2061"/>
      <c r="F11" s="2061"/>
      <c r="G11" s="2061"/>
      <c r="H11" s="2061"/>
      <c r="I11" s="2061"/>
      <c r="J11" s="1217"/>
      <c r="K11" s="1217"/>
      <c r="L11" s="52"/>
      <c r="M11" s="52"/>
      <c r="N11" s="51"/>
      <c r="O11" s="2061" t="s">
        <v>283</v>
      </c>
      <c r="P11" s="2061"/>
      <c r="Q11" s="2061"/>
      <c r="R11" s="2061"/>
      <c r="S11" s="2061"/>
      <c r="T11" s="2061"/>
      <c r="U11" s="2061"/>
      <c r="V11" s="1006"/>
      <c r="W11" s="1217"/>
      <c r="X11" s="1217"/>
      <c r="Y11" s="52"/>
    </row>
    <row r="12" spans="1:25" ht="15.75">
      <c r="B12" s="36"/>
      <c r="C12" s="127"/>
      <c r="D12" s="52"/>
      <c r="E12" s="127"/>
      <c r="F12" s="52"/>
      <c r="G12" s="36"/>
      <c r="H12" s="52"/>
      <c r="I12" s="52" t="s">
        <v>228</v>
      </c>
      <c r="J12" s="52"/>
      <c r="K12" s="52" t="s">
        <v>228</v>
      </c>
      <c r="L12" s="52"/>
      <c r="M12" s="1520"/>
      <c r="N12" s="52"/>
      <c r="O12" s="127"/>
      <c r="P12" s="52"/>
      <c r="Q12" s="127"/>
      <c r="R12" s="52"/>
      <c r="S12" s="36"/>
      <c r="T12" s="52"/>
      <c r="U12" s="52" t="s">
        <v>228</v>
      </c>
      <c r="V12" s="52"/>
      <c r="W12" s="52" t="s">
        <v>228</v>
      </c>
      <c r="X12" s="36"/>
      <c r="Y12" s="127"/>
    </row>
    <row r="13" spans="1:25" ht="15.75">
      <c r="B13" s="36"/>
      <c r="C13" s="127"/>
      <c r="D13" s="36"/>
      <c r="E13" s="127"/>
      <c r="F13" s="36"/>
      <c r="G13" s="36"/>
      <c r="H13" s="36"/>
      <c r="I13" s="37" t="s">
        <v>229</v>
      </c>
      <c r="J13" s="36"/>
      <c r="K13" s="37" t="s">
        <v>229</v>
      </c>
      <c r="L13" s="37"/>
      <c r="M13" s="1521"/>
      <c r="N13" s="36"/>
      <c r="O13" s="127"/>
      <c r="P13" s="36"/>
      <c r="Q13" s="127"/>
      <c r="R13" s="36"/>
      <c r="S13" s="36"/>
      <c r="T13" s="36"/>
      <c r="U13" s="37" t="s">
        <v>229</v>
      </c>
      <c r="V13" s="36"/>
      <c r="W13" s="37" t="s">
        <v>229</v>
      </c>
      <c r="X13" s="36"/>
      <c r="Y13" s="127"/>
    </row>
    <row r="14" spans="1:25" ht="15.75" customHeight="1">
      <c r="B14" s="36"/>
      <c r="C14" s="38" t="s">
        <v>231</v>
      </c>
      <c r="D14" s="36"/>
      <c r="E14" s="38" t="s">
        <v>232</v>
      </c>
      <c r="F14" s="36"/>
      <c r="G14" s="36"/>
      <c r="H14" s="36"/>
      <c r="I14" s="37" t="s">
        <v>233</v>
      </c>
      <c r="J14" s="36"/>
      <c r="K14" s="37" t="s">
        <v>233</v>
      </c>
      <c r="L14" s="37"/>
      <c r="M14" s="1521"/>
      <c r="N14" s="36"/>
      <c r="O14" s="38" t="s">
        <v>231</v>
      </c>
      <c r="P14" s="36"/>
      <c r="Q14" s="38" t="s">
        <v>232</v>
      </c>
      <c r="R14" s="36"/>
      <c r="S14" s="36"/>
      <c r="T14" s="36"/>
      <c r="U14" s="37" t="s">
        <v>233</v>
      </c>
      <c r="V14" s="36"/>
      <c r="W14" s="37" t="s">
        <v>233</v>
      </c>
      <c r="X14" s="291"/>
      <c r="Y14" s="38"/>
    </row>
    <row r="15" spans="1:25" ht="15.75" customHeight="1">
      <c r="B15" s="36"/>
      <c r="C15" s="37" t="s">
        <v>234</v>
      </c>
      <c r="D15" s="36"/>
      <c r="E15" s="37" t="s">
        <v>234</v>
      </c>
      <c r="F15" s="36"/>
      <c r="G15" s="36"/>
      <c r="H15" s="36"/>
      <c r="I15" s="37" t="s">
        <v>231</v>
      </c>
      <c r="J15" s="36"/>
      <c r="K15" s="38" t="s">
        <v>232</v>
      </c>
      <c r="L15" s="38"/>
      <c r="M15" s="1525"/>
      <c r="N15" s="36"/>
      <c r="O15" s="37" t="s">
        <v>234</v>
      </c>
      <c r="P15" s="36"/>
      <c r="Q15" s="37" t="s">
        <v>234</v>
      </c>
      <c r="R15" s="36"/>
      <c r="S15" s="36"/>
      <c r="T15" s="36"/>
      <c r="U15" s="37" t="s">
        <v>231</v>
      </c>
      <c r="V15" s="36"/>
      <c r="W15" s="38" t="s">
        <v>232</v>
      </c>
      <c r="X15" s="36"/>
      <c r="Y15" s="37"/>
    </row>
    <row r="16" spans="1:25" ht="15.75">
      <c r="B16" s="36"/>
      <c r="C16" s="37" t="s">
        <v>235</v>
      </c>
      <c r="D16" s="36"/>
      <c r="E16" s="37" t="s">
        <v>1491</v>
      </c>
      <c r="F16" s="36"/>
      <c r="G16" s="38" t="s">
        <v>228</v>
      </c>
      <c r="H16" s="36"/>
      <c r="I16" s="37" t="s">
        <v>236</v>
      </c>
      <c r="J16" s="36"/>
      <c r="K16" s="37" t="s">
        <v>236</v>
      </c>
      <c r="L16" s="37"/>
      <c r="M16" s="1521"/>
      <c r="N16" s="36"/>
      <c r="O16" s="37" t="s">
        <v>235</v>
      </c>
      <c r="P16" s="36"/>
      <c r="Q16" s="37" t="s">
        <v>1491</v>
      </c>
      <c r="R16" s="36"/>
      <c r="S16" s="38" t="s">
        <v>228</v>
      </c>
      <c r="T16" s="36"/>
      <c r="U16" s="37" t="s">
        <v>236</v>
      </c>
      <c r="V16" s="36"/>
      <c r="W16" s="37" t="s">
        <v>236</v>
      </c>
      <c r="X16" s="36"/>
      <c r="Y16" s="37"/>
    </row>
    <row r="17" spans="1:25">
      <c r="A17" s="39"/>
      <c r="B17" s="30"/>
      <c r="C17" s="1005"/>
      <c r="D17" s="30"/>
      <c r="E17" s="1005"/>
      <c r="F17" s="30"/>
      <c r="G17" s="1005"/>
      <c r="H17" s="30"/>
      <c r="I17" s="1005"/>
      <c r="J17" s="30"/>
      <c r="K17" s="1005"/>
      <c r="L17" s="30"/>
      <c r="M17" s="1522"/>
      <c r="N17" s="30"/>
      <c r="O17" s="1005"/>
      <c r="P17" s="30"/>
      <c r="Q17" s="1005"/>
      <c r="R17" s="30"/>
      <c r="S17" s="1005"/>
      <c r="T17" s="30"/>
      <c r="U17" s="1005"/>
      <c r="V17" s="30"/>
      <c r="W17" s="1005"/>
      <c r="X17" s="30"/>
      <c r="Y17" s="30"/>
    </row>
    <row r="18" spans="1:25" ht="15.75">
      <c r="A18" s="3" t="s">
        <v>114</v>
      </c>
      <c r="C18" s="256"/>
      <c r="E18" s="256"/>
      <c r="G18" s="268" t="s">
        <v>103</v>
      </c>
      <c r="M18" s="1523"/>
      <c r="S18" s="256" t="s">
        <v>103</v>
      </c>
      <c r="W18" s="256"/>
      <c r="Y18" s="256"/>
    </row>
    <row r="19" spans="1:25">
      <c r="A19" s="350" t="s">
        <v>237</v>
      </c>
      <c r="B19" s="378" t="s">
        <v>103</v>
      </c>
      <c r="C19" s="274"/>
      <c r="D19" s="378"/>
      <c r="E19" s="274"/>
      <c r="F19" s="378"/>
      <c r="G19" s="274"/>
      <c r="H19" s="378"/>
      <c r="I19" s="274"/>
      <c r="J19" s="378"/>
      <c r="K19" s="274"/>
      <c r="L19" s="274"/>
      <c r="M19" s="1497"/>
      <c r="N19" s="378"/>
      <c r="O19" s="274"/>
      <c r="P19" s="378"/>
      <c r="Q19" s="274"/>
      <c r="R19" s="378"/>
      <c r="S19" s="389"/>
      <c r="T19" s="378"/>
      <c r="U19" s="274"/>
      <c r="V19" s="378"/>
      <c r="W19" s="274"/>
      <c r="X19" s="274"/>
      <c r="Y19" s="274"/>
    </row>
    <row r="20" spans="1:25">
      <c r="A20" s="350" t="s">
        <v>239</v>
      </c>
      <c r="B20" s="256" t="s">
        <v>103</v>
      </c>
      <c r="C20" s="387">
        <v>153</v>
      </c>
      <c r="D20" s="1790"/>
      <c r="E20" s="387">
        <v>0</v>
      </c>
      <c r="F20" s="276"/>
      <c r="G20" s="387">
        <f>'Exhibit I State'!AD21</f>
        <v>150.30000000000001</v>
      </c>
      <c r="H20" s="276"/>
      <c r="I20" s="264">
        <f t="shared" ref="I20:I26" si="0">G20-C20</f>
        <v>-2.6999999999999886</v>
      </c>
      <c r="J20" s="276"/>
      <c r="K20" s="274">
        <v>0</v>
      </c>
      <c r="L20" s="274"/>
      <c r="M20" s="1497"/>
      <c r="N20" s="276"/>
      <c r="O20" s="387">
        <v>0</v>
      </c>
      <c r="P20" s="1790"/>
      <c r="Q20" s="387">
        <v>0</v>
      </c>
      <c r="R20" s="276"/>
      <c r="S20" s="387">
        <v>0</v>
      </c>
      <c r="T20" s="276"/>
      <c r="U20" s="274">
        <v>0</v>
      </c>
      <c r="V20" s="276"/>
      <c r="W20" s="274">
        <f>S20-Q20</f>
        <v>0</v>
      </c>
      <c r="X20" s="277"/>
      <c r="Y20" s="1516"/>
    </row>
    <row r="21" spans="1:25">
      <c r="A21" s="350" t="s">
        <v>240</v>
      </c>
      <c r="B21" s="378" t="s">
        <v>103</v>
      </c>
      <c r="C21" s="275">
        <v>134</v>
      </c>
      <c r="D21" s="367"/>
      <c r="E21" s="275">
        <v>0</v>
      </c>
      <c r="F21" s="264"/>
      <c r="G21" s="288">
        <f>'Exhibit I State'!AD26</f>
        <v>138.9</v>
      </c>
      <c r="H21" s="264"/>
      <c r="I21" s="264">
        <f t="shared" si="0"/>
        <v>4.9000000000000057</v>
      </c>
      <c r="J21" s="264"/>
      <c r="K21" s="264">
        <v>0</v>
      </c>
      <c r="L21" s="264"/>
      <c r="M21" s="990"/>
      <c r="N21" s="264"/>
      <c r="O21" s="275">
        <v>0</v>
      </c>
      <c r="P21" s="367"/>
      <c r="Q21" s="275">
        <v>0</v>
      </c>
      <c r="R21" s="264"/>
      <c r="S21" s="288">
        <v>0</v>
      </c>
      <c r="T21" s="264"/>
      <c r="U21" s="264">
        <f t="shared" ref="U21:U24" si="1">S21-O21</f>
        <v>0</v>
      </c>
      <c r="V21" s="264"/>
      <c r="W21" s="264">
        <f t="shared" ref="W21:W25" si="2">S21-Q21</f>
        <v>0</v>
      </c>
      <c r="X21" s="275"/>
      <c r="Y21" s="1516"/>
    </row>
    <row r="22" spans="1:25">
      <c r="A22" s="350" t="s">
        <v>241</v>
      </c>
      <c r="B22" s="256" t="s">
        <v>103</v>
      </c>
      <c r="C22" s="275">
        <v>26</v>
      </c>
      <c r="D22" s="1790"/>
      <c r="E22" s="275">
        <v>0</v>
      </c>
      <c r="F22" s="287"/>
      <c r="G22" s="288">
        <f>'Exhibit I State'!AD29</f>
        <v>25.7</v>
      </c>
      <c r="H22" s="287"/>
      <c r="I22" s="264">
        <f t="shared" si="0"/>
        <v>-0.30000000000000071</v>
      </c>
      <c r="J22" s="287"/>
      <c r="K22" s="264">
        <v>0</v>
      </c>
      <c r="L22" s="264"/>
      <c r="M22" s="990"/>
      <c r="N22" s="287"/>
      <c r="O22" s="275">
        <v>0</v>
      </c>
      <c r="P22" s="1790"/>
      <c r="Q22" s="275">
        <v>0</v>
      </c>
      <c r="R22" s="287"/>
      <c r="S22" s="288">
        <v>0</v>
      </c>
      <c r="T22" s="287"/>
      <c r="U22" s="264">
        <f t="shared" si="1"/>
        <v>0</v>
      </c>
      <c r="V22" s="287"/>
      <c r="W22" s="264">
        <f t="shared" si="2"/>
        <v>0</v>
      </c>
      <c r="X22" s="275"/>
      <c r="Y22" s="1516"/>
    </row>
    <row r="23" spans="1:25">
      <c r="A23" s="350" t="s">
        <v>119</v>
      </c>
      <c r="B23" s="256" t="s">
        <v>103</v>
      </c>
      <c r="C23" s="275">
        <v>2513</v>
      </c>
      <c r="D23" s="1791"/>
      <c r="E23" s="275">
        <v>0</v>
      </c>
      <c r="F23" s="1197"/>
      <c r="G23" s="288">
        <f>'Exhibit I State'!AD60</f>
        <v>2536.8000000000002</v>
      </c>
      <c r="H23" s="1197"/>
      <c r="I23" s="264">
        <f t="shared" si="0"/>
        <v>23.800000000000182</v>
      </c>
      <c r="J23" s="1197"/>
      <c r="K23" s="264">
        <v>0</v>
      </c>
      <c r="L23" s="264"/>
      <c r="M23" s="990"/>
      <c r="N23" s="1524"/>
      <c r="O23" s="275">
        <v>19</v>
      </c>
      <c r="P23" s="1791"/>
      <c r="Q23" s="275">
        <v>0</v>
      </c>
      <c r="R23" s="1197"/>
      <c r="S23" s="264">
        <f>'Exhibit I Federal'!AD42</f>
        <v>0.3</v>
      </c>
      <c r="T23" s="1197"/>
      <c r="U23" s="264">
        <f t="shared" si="1"/>
        <v>-18.7</v>
      </c>
      <c r="V23" s="1197"/>
      <c r="W23" s="264">
        <v>0</v>
      </c>
      <c r="X23" s="264"/>
      <c r="Y23" s="1516"/>
    </row>
    <row r="24" spans="1:25">
      <c r="A24" s="350" t="s">
        <v>120</v>
      </c>
      <c r="B24" s="256" t="s">
        <v>103</v>
      </c>
      <c r="C24" s="275">
        <v>0</v>
      </c>
      <c r="D24" s="1790"/>
      <c r="E24" s="275">
        <v>0</v>
      </c>
      <c r="F24" s="264"/>
      <c r="G24" s="288">
        <f>'Exhibit I State'!AD62</f>
        <v>0</v>
      </c>
      <c r="H24" s="264"/>
      <c r="I24" s="264">
        <f t="shared" si="0"/>
        <v>0</v>
      </c>
      <c r="J24" s="264"/>
      <c r="K24" s="264">
        <f t="shared" ref="K24:K25" si="3">G24-E24</f>
        <v>0</v>
      </c>
      <c r="L24" s="264"/>
      <c r="M24" s="990"/>
      <c r="N24" s="264"/>
      <c r="O24" s="275">
        <v>508</v>
      </c>
      <c r="P24" s="1790"/>
      <c r="Q24" s="275">
        <v>0</v>
      </c>
      <c r="R24" s="264"/>
      <c r="S24" s="264">
        <f>'Exhibit I Federal'!AD44</f>
        <v>378.7</v>
      </c>
      <c r="T24" s="264"/>
      <c r="U24" s="264">
        <f t="shared" si="1"/>
        <v>-129.30000000000001</v>
      </c>
      <c r="V24" s="264"/>
      <c r="W24" s="264">
        <v>0</v>
      </c>
      <c r="X24" s="264"/>
      <c r="Y24" s="1516"/>
    </row>
    <row r="25" spans="1:25">
      <c r="A25" s="350" t="s">
        <v>247</v>
      </c>
      <c r="B25" s="256" t="s">
        <v>103</v>
      </c>
      <c r="C25" s="275">
        <v>0</v>
      </c>
      <c r="D25" s="1790"/>
      <c r="E25" s="275">
        <v>0</v>
      </c>
      <c r="F25" s="264"/>
      <c r="G25" s="288">
        <f>'Exhibit I State'!AD90</f>
        <v>0</v>
      </c>
      <c r="H25" s="264"/>
      <c r="I25" s="264">
        <f t="shared" si="0"/>
        <v>0</v>
      </c>
      <c r="J25" s="264"/>
      <c r="K25" s="264">
        <f t="shared" si="3"/>
        <v>0</v>
      </c>
      <c r="L25" s="264"/>
      <c r="M25" s="990"/>
      <c r="N25" s="264"/>
      <c r="O25" s="275">
        <v>0</v>
      </c>
      <c r="P25" s="1790"/>
      <c r="Q25" s="275">
        <v>0</v>
      </c>
      <c r="R25" s="264"/>
      <c r="S25" s="275">
        <v>0</v>
      </c>
      <c r="T25" s="264"/>
      <c r="U25" s="264">
        <f t="shared" ref="U25" si="4">S25-O25</f>
        <v>0</v>
      </c>
      <c r="V25" s="264"/>
      <c r="W25" s="264">
        <f t="shared" si="2"/>
        <v>0</v>
      </c>
      <c r="X25" s="264"/>
      <c r="Y25" s="1516"/>
    </row>
    <row r="26" spans="1:25" ht="15.75">
      <c r="A26" s="350" t="s">
        <v>147</v>
      </c>
      <c r="B26" s="256" t="s">
        <v>103</v>
      </c>
      <c r="C26" s="275">
        <v>-258</v>
      </c>
      <c r="D26" s="1790"/>
      <c r="E26" s="275">
        <v>0</v>
      </c>
      <c r="F26" s="13"/>
      <c r="G26" s="287">
        <f>'Exhibit I State'!AD91</f>
        <v>-262.5</v>
      </c>
      <c r="H26" s="13"/>
      <c r="I26" s="264">
        <f t="shared" si="0"/>
        <v>-4.5</v>
      </c>
      <c r="J26" s="13"/>
      <c r="K26" s="264">
        <v>0</v>
      </c>
      <c r="L26" s="264"/>
      <c r="M26" s="990"/>
      <c r="N26" s="13"/>
      <c r="O26" s="275">
        <v>1</v>
      </c>
      <c r="P26" s="1790"/>
      <c r="Q26" s="275">
        <v>0</v>
      </c>
      <c r="R26" s="13"/>
      <c r="S26" s="287">
        <f>'Exhibit I Federal'!AD72</f>
        <v>0</v>
      </c>
      <c r="T26" s="13"/>
      <c r="U26" s="264">
        <f>S26-O26</f>
        <v>-1</v>
      </c>
      <c r="V26" s="13"/>
      <c r="W26" s="264">
        <f>S26-Q26</f>
        <v>0</v>
      </c>
      <c r="X26" s="264"/>
      <c r="Y26" s="1516"/>
    </row>
    <row r="27" spans="1:25" ht="18" customHeight="1">
      <c r="A27" s="1216" t="s">
        <v>261</v>
      </c>
      <c r="B27" s="36" t="s">
        <v>103</v>
      </c>
      <c r="C27" s="617">
        <f>ROUND(SUM(C20:C26),1)</f>
        <v>2568</v>
      </c>
      <c r="D27" s="264"/>
      <c r="E27" s="617">
        <f>ROUND(SUM(E20:E26),1)</f>
        <v>0</v>
      </c>
      <c r="F27" s="264"/>
      <c r="G27" s="617">
        <f>ROUND(SUM(G20:G26),1)</f>
        <v>2589.1999999999998</v>
      </c>
      <c r="H27" s="264"/>
      <c r="I27" s="617">
        <f>ROUND(SUM(I20:I26),1)</f>
        <v>21.2</v>
      </c>
      <c r="J27" s="264"/>
      <c r="K27" s="617">
        <f>ROUND(SUM(K20:K26),1)</f>
        <v>0</v>
      </c>
      <c r="L27" s="13"/>
      <c r="M27" s="1499"/>
      <c r="N27" s="264"/>
      <c r="O27" s="617">
        <f>ROUND(SUM(O20:O26),1)</f>
        <v>528</v>
      </c>
      <c r="P27" s="264"/>
      <c r="Q27" s="617">
        <f>ROUND(SUM(Q20:Q26),1)</f>
        <v>0</v>
      </c>
      <c r="R27" s="264"/>
      <c r="S27" s="617">
        <f>ROUND(SUM(S20:S26),1)</f>
        <v>379</v>
      </c>
      <c r="T27" s="264"/>
      <c r="U27" s="617">
        <f>ROUND(SUM(U20:U26),1)</f>
        <v>-149</v>
      </c>
      <c r="V27" s="264"/>
      <c r="W27" s="617">
        <f>ROUND(SUM(W20:W26),1)</f>
        <v>0</v>
      </c>
      <c r="X27" s="13"/>
      <c r="Y27" s="1517"/>
    </row>
    <row r="28" spans="1:25">
      <c r="B28" s="256" t="s">
        <v>103</v>
      </c>
      <c r="C28" s="615"/>
      <c r="D28" s="264"/>
      <c r="E28" s="615"/>
      <c r="F28" s="264"/>
      <c r="G28" s="615"/>
      <c r="H28" s="264"/>
      <c r="I28" s="615" t="s">
        <v>103</v>
      </c>
      <c r="J28" s="264"/>
      <c r="K28" s="615"/>
      <c r="L28" s="264"/>
      <c r="M28" s="990"/>
      <c r="N28" s="264"/>
      <c r="O28" s="615"/>
      <c r="P28" s="264"/>
      <c r="Q28" s="615"/>
      <c r="R28" s="264"/>
      <c r="S28" s="615"/>
      <c r="T28" s="264"/>
      <c r="U28" s="615" t="s">
        <v>103</v>
      </c>
      <c r="V28" s="264"/>
      <c r="W28" s="615"/>
      <c r="X28" s="264"/>
      <c r="Y28" s="1492"/>
    </row>
    <row r="29" spans="1:25" ht="15.75">
      <c r="A29" s="3" t="s">
        <v>122</v>
      </c>
      <c r="B29" s="256" t="s">
        <v>103</v>
      </c>
      <c r="C29" s="264"/>
      <c r="D29" s="264"/>
      <c r="E29" s="264"/>
      <c r="F29" s="264"/>
      <c r="G29" s="264"/>
      <c r="H29" s="264"/>
      <c r="I29" s="264"/>
      <c r="J29" s="264"/>
      <c r="K29" s="264"/>
      <c r="L29" s="264"/>
      <c r="M29" s="990"/>
      <c r="N29" s="264"/>
      <c r="O29" s="264"/>
      <c r="P29" s="264"/>
      <c r="Q29" s="264"/>
      <c r="R29" s="264"/>
      <c r="S29" s="264"/>
      <c r="T29" s="264"/>
      <c r="U29" s="264"/>
      <c r="V29" s="264"/>
      <c r="W29" s="264"/>
      <c r="X29" s="264"/>
      <c r="Y29" s="1492"/>
    </row>
    <row r="30" spans="1:25">
      <c r="A30" s="350" t="s">
        <v>243</v>
      </c>
      <c r="B30" s="256" t="s">
        <v>103</v>
      </c>
      <c r="C30" s="275">
        <v>1007</v>
      </c>
      <c r="D30" s="1790"/>
      <c r="E30" s="275">
        <v>0</v>
      </c>
      <c r="F30" s="264"/>
      <c r="G30" s="275">
        <f>'Exhibit I State'!AD77</f>
        <v>1235</v>
      </c>
      <c r="H30" s="264"/>
      <c r="I30" s="264">
        <f t="shared" ref="I30:I32" si="5">G30-C30</f>
        <v>228</v>
      </c>
      <c r="J30" s="264"/>
      <c r="K30" s="264">
        <v>0</v>
      </c>
      <c r="L30" s="264"/>
      <c r="M30" s="990"/>
      <c r="N30" s="264"/>
      <c r="O30" s="275">
        <v>138</v>
      </c>
      <c r="P30" s="1790"/>
      <c r="Q30" s="275">
        <v>0</v>
      </c>
      <c r="R30" s="264"/>
      <c r="S30" s="264">
        <f>'Exhibit I Federal'!AD59</f>
        <v>113.7</v>
      </c>
      <c r="T30" s="264"/>
      <c r="U30" s="264">
        <f t="shared" ref="U30:U32" si="6">S30-O30</f>
        <v>-24.299999999999997</v>
      </c>
      <c r="V30" s="264"/>
      <c r="W30" s="264">
        <v>0</v>
      </c>
      <c r="X30" s="264"/>
      <c r="Y30" s="1516"/>
    </row>
    <row r="31" spans="1:25">
      <c r="A31" s="350" t="s">
        <v>140</v>
      </c>
      <c r="B31" s="256" t="s">
        <v>103</v>
      </c>
      <c r="C31" s="275">
        <v>2194</v>
      </c>
      <c r="D31" s="1790"/>
      <c r="E31" s="275">
        <v>0</v>
      </c>
      <c r="F31" s="264"/>
      <c r="G31" s="275">
        <f>'Exhibit I State'!AD82</f>
        <v>1899.5</v>
      </c>
      <c r="H31" s="264"/>
      <c r="I31" s="264">
        <f t="shared" si="5"/>
        <v>-294.5</v>
      </c>
      <c r="J31" s="264"/>
      <c r="K31" s="264">
        <v>0</v>
      </c>
      <c r="L31" s="264"/>
      <c r="M31" s="990"/>
      <c r="N31" s="264"/>
      <c r="O31" s="275">
        <v>287</v>
      </c>
      <c r="P31" s="1790"/>
      <c r="Q31" s="275">
        <v>0</v>
      </c>
      <c r="R31" s="264"/>
      <c r="S31" s="264">
        <f>'Exhibit I Federal'!AD64</f>
        <v>392.3</v>
      </c>
      <c r="T31" s="264"/>
      <c r="U31" s="264">
        <f t="shared" si="6"/>
        <v>105.30000000000001</v>
      </c>
      <c r="V31" s="264"/>
      <c r="W31" s="264">
        <v>0</v>
      </c>
      <c r="X31" s="264"/>
      <c r="Y31" s="1516"/>
    </row>
    <row r="32" spans="1:25">
      <c r="A32" s="350" t="s">
        <v>248</v>
      </c>
      <c r="B32" s="256" t="s">
        <v>103</v>
      </c>
      <c r="C32" s="275">
        <v>0</v>
      </c>
      <c r="D32" s="1790"/>
      <c r="E32" s="275">
        <v>0</v>
      </c>
      <c r="F32" s="264"/>
      <c r="G32" s="287">
        <f>-'Exhibit I State'!AD92</f>
        <v>3.4</v>
      </c>
      <c r="H32" s="264"/>
      <c r="I32" s="264">
        <f t="shared" si="5"/>
        <v>3.4</v>
      </c>
      <c r="J32" s="264"/>
      <c r="K32" s="264">
        <v>0</v>
      </c>
      <c r="L32" s="264"/>
      <c r="M32" s="990"/>
      <c r="N32" s="264"/>
      <c r="O32" s="275">
        <v>0</v>
      </c>
      <c r="P32" s="1790"/>
      <c r="Q32" s="275">
        <v>0</v>
      </c>
      <c r="R32" s="264"/>
      <c r="S32" s="287">
        <f>-'Exhibit I Federal'!AD73</f>
        <v>0</v>
      </c>
      <c r="T32" s="264"/>
      <c r="U32" s="264">
        <f t="shared" si="6"/>
        <v>0</v>
      </c>
      <c r="V32" s="264"/>
      <c r="W32" s="264">
        <f t="shared" ref="W32" si="7">S32-Q32</f>
        <v>0</v>
      </c>
      <c r="X32" s="264"/>
      <c r="Y32" s="1516"/>
    </row>
    <row r="33" spans="1:25" ht="18" customHeight="1">
      <c r="A33" s="1216" t="s">
        <v>270</v>
      </c>
      <c r="B33" s="36" t="s">
        <v>103</v>
      </c>
      <c r="C33" s="617">
        <f>ROUND(SUM(C30:C32),1)</f>
        <v>3201</v>
      </c>
      <c r="D33" s="264"/>
      <c r="E33" s="617">
        <f>ROUND(SUM(E30:E32),1)</f>
        <v>0</v>
      </c>
      <c r="F33" s="264"/>
      <c r="G33" s="617">
        <f>ROUND(SUM(G30:G32),1)</f>
        <v>3137.9</v>
      </c>
      <c r="H33" s="264"/>
      <c r="I33" s="617">
        <f>ROUND(SUM(I30:I32),1)</f>
        <v>-63.1</v>
      </c>
      <c r="J33" s="264"/>
      <c r="K33" s="617">
        <f>ROUND(SUM(K30:K32),1)</f>
        <v>0</v>
      </c>
      <c r="L33" s="13"/>
      <c r="M33" s="1499"/>
      <c r="N33" s="264"/>
      <c r="O33" s="617">
        <f>ROUND(SUM(O30:O32),1)</f>
        <v>425</v>
      </c>
      <c r="P33" s="264"/>
      <c r="Q33" s="617">
        <f>ROUND(SUM(Q30:Q32),1)</f>
        <v>0</v>
      </c>
      <c r="R33" s="264"/>
      <c r="S33" s="617">
        <f>ROUND(SUM(S30:S32),1)</f>
        <v>506</v>
      </c>
      <c r="T33" s="264"/>
      <c r="U33" s="617">
        <f>ROUND(SUM(U30:U32),1)</f>
        <v>81</v>
      </c>
      <c r="V33" s="264"/>
      <c r="W33" s="617">
        <f>ROUND(SUM(W30:W32),1)</f>
        <v>0</v>
      </c>
      <c r="X33" s="13"/>
      <c r="Y33" s="1517"/>
    </row>
    <row r="34" spans="1:25">
      <c r="B34" s="256" t="s">
        <v>103</v>
      </c>
      <c r="C34" s="615"/>
      <c r="D34" s="264"/>
      <c r="E34" s="615"/>
      <c r="F34" s="264"/>
      <c r="G34" s="615"/>
      <c r="H34" s="264"/>
      <c r="I34" s="615"/>
      <c r="J34" s="264"/>
      <c r="K34" s="615"/>
      <c r="L34" s="264"/>
      <c r="M34" s="990"/>
      <c r="N34" s="264"/>
      <c r="O34" s="615"/>
      <c r="P34" s="264"/>
      <c r="Q34" s="615"/>
      <c r="R34" s="264"/>
      <c r="S34" s="615"/>
      <c r="T34" s="264"/>
      <c r="U34" s="615"/>
      <c r="V34" s="264"/>
      <c r="W34" s="615"/>
      <c r="X34" s="264"/>
      <c r="Y34" s="1492"/>
    </row>
    <row r="35" spans="1:25" ht="15.75">
      <c r="A35" s="3" t="s">
        <v>250</v>
      </c>
      <c r="C35" s="264"/>
      <c r="D35" s="13"/>
      <c r="E35" s="264"/>
      <c r="F35" s="13"/>
      <c r="G35" s="264"/>
      <c r="H35" s="13"/>
      <c r="I35" s="264"/>
      <c r="J35" s="13"/>
      <c r="K35" s="264"/>
      <c r="L35" s="264"/>
      <c r="M35" s="990"/>
      <c r="N35" s="13"/>
      <c r="O35" s="264"/>
      <c r="P35" s="13"/>
      <c r="Q35" s="264"/>
      <c r="R35" s="13"/>
      <c r="S35" s="264"/>
      <c r="T35" s="13"/>
      <c r="U35" s="264"/>
      <c r="V35" s="13"/>
      <c r="W35" s="264"/>
      <c r="X35" s="264"/>
      <c r="Y35" s="1492"/>
    </row>
    <row r="36" spans="1:25" ht="15.75">
      <c r="A36" s="3" t="s">
        <v>251</v>
      </c>
      <c r="C36" s="264"/>
      <c r="D36" s="264"/>
      <c r="E36" s="264"/>
      <c r="F36" s="264"/>
      <c r="G36" s="264"/>
      <c r="H36" s="264"/>
      <c r="I36" s="264"/>
      <c r="J36" s="264"/>
      <c r="K36" s="264"/>
      <c r="L36" s="264"/>
      <c r="M36" s="990"/>
      <c r="N36" s="264"/>
      <c r="O36" s="264"/>
      <c r="P36" s="264"/>
      <c r="Q36" s="264"/>
      <c r="R36" s="264"/>
      <c r="S36" s="264"/>
      <c r="T36" s="264"/>
      <c r="U36" s="264"/>
      <c r="V36" s="264"/>
      <c r="W36" s="264"/>
      <c r="X36" s="264"/>
      <c r="Y36" s="1492"/>
    </row>
    <row r="37" spans="1:25" ht="15.75">
      <c r="A37" s="1216" t="s">
        <v>252</v>
      </c>
      <c r="B37" s="42" t="s">
        <v>103</v>
      </c>
      <c r="C37" s="13">
        <f>ROUND(SUM(C27)-SUM(C33),1)</f>
        <v>-633</v>
      </c>
      <c r="D37" s="264"/>
      <c r="E37" s="13">
        <f>ROUND(SUM(E27)-SUM(E33),1)</f>
        <v>0</v>
      </c>
      <c r="F37" s="264"/>
      <c r="G37" s="13">
        <f>ROUND(SUM(G27)-SUM(G33),1)</f>
        <v>-548.70000000000005</v>
      </c>
      <c r="H37" s="264"/>
      <c r="I37" s="13">
        <f>ROUND(SUM(I27)-SUM(I33),1)</f>
        <v>84.3</v>
      </c>
      <c r="J37" s="264"/>
      <c r="K37" s="13">
        <f>ROUND(SUM(K27)-SUM(K33),1)</f>
        <v>0</v>
      </c>
      <c r="L37" s="13"/>
      <c r="M37" s="1499"/>
      <c r="N37" s="264"/>
      <c r="O37" s="13">
        <f>ROUND(SUM(O27)-SUM(O33),1)</f>
        <v>103</v>
      </c>
      <c r="P37" s="264"/>
      <c r="Q37" s="13">
        <f>ROUND(SUM(Q27)-SUM(Q33),1)</f>
        <v>0</v>
      </c>
      <c r="R37" s="264"/>
      <c r="S37" s="13">
        <f>ROUND(SUM(S27)-SUM(S33),1)</f>
        <v>-127</v>
      </c>
      <c r="T37" s="264"/>
      <c r="U37" s="13">
        <f>ROUND(SUM(U27)-SUM(U33),1)</f>
        <v>-230</v>
      </c>
      <c r="V37" s="264"/>
      <c r="W37" s="13">
        <f>ROUND(SUM(W27)-SUM(W33),1)</f>
        <v>0</v>
      </c>
      <c r="X37" s="18"/>
      <c r="Y37" s="1517"/>
    </row>
    <row r="38" spans="1:25" ht="15.75">
      <c r="C38" s="264"/>
      <c r="D38" s="264"/>
      <c r="E38" s="264"/>
      <c r="F38" s="264"/>
      <c r="G38" s="264"/>
      <c r="H38" s="264"/>
      <c r="I38" s="264"/>
      <c r="J38" s="264"/>
      <c r="K38" s="264"/>
      <c r="L38" s="13"/>
      <c r="M38" s="1499"/>
      <c r="N38" s="264"/>
      <c r="O38" s="264"/>
      <c r="P38" s="264"/>
      <c r="Q38" s="264"/>
      <c r="R38" s="264"/>
      <c r="S38" s="264"/>
      <c r="T38" s="264"/>
      <c r="U38" s="264"/>
      <c r="V38" s="264"/>
      <c r="W38" s="264"/>
      <c r="X38" s="264"/>
      <c r="Y38" s="1492"/>
    </row>
    <row r="39" spans="1:25" ht="15.75">
      <c r="A39" s="1216" t="s">
        <v>253</v>
      </c>
      <c r="B39" s="384" t="s">
        <v>103</v>
      </c>
      <c r="C39" s="13">
        <v>-2206</v>
      </c>
      <c r="D39" s="18"/>
      <c r="E39" s="13">
        <v>0</v>
      </c>
      <c r="F39" s="18"/>
      <c r="G39" s="13">
        <v>-2206.4</v>
      </c>
      <c r="H39" s="18"/>
      <c r="I39" s="13">
        <f t="shared" ref="I39" si="8">G39-C39</f>
        <v>-0.40000000000009095</v>
      </c>
      <c r="J39" s="18"/>
      <c r="K39" s="13">
        <v>0</v>
      </c>
      <c r="L39" s="13"/>
      <c r="M39" s="1499"/>
      <c r="N39" s="18"/>
      <c r="O39" s="13">
        <v>-277</v>
      </c>
      <c r="P39" s="18"/>
      <c r="Q39" s="13">
        <v>0</v>
      </c>
      <c r="R39" s="18"/>
      <c r="S39" s="13">
        <v>-276.7</v>
      </c>
      <c r="T39" s="18"/>
      <c r="U39" s="13">
        <f t="shared" ref="U39" si="9">S39-O39</f>
        <v>0.30000000000001137</v>
      </c>
      <c r="V39" s="18"/>
      <c r="W39" s="13">
        <v>0</v>
      </c>
      <c r="X39" s="264"/>
      <c r="Y39" s="1517"/>
    </row>
    <row r="40" spans="1:25" ht="16.5" thickBot="1">
      <c r="A40" s="1216" t="str">
        <f>+'Exh D Governmental  '!A50</f>
        <v>Fund Balances (Deficits) at June 30, 2026</v>
      </c>
      <c r="B40" s="43" t="s">
        <v>103</v>
      </c>
      <c r="C40" s="674">
        <f>ROUND(SUM(C37:C39),1)</f>
        <v>-2839</v>
      </c>
      <c r="D40" s="264"/>
      <c r="E40" s="674">
        <f>ROUND(SUM(E37:E39),1)</f>
        <v>0</v>
      </c>
      <c r="F40" s="264"/>
      <c r="G40" s="674">
        <f>ROUND(SUM(G37:G39),1)</f>
        <v>-2755.1</v>
      </c>
      <c r="H40" s="264"/>
      <c r="I40" s="674">
        <f>ROUND(SUM(I37:I39),1)</f>
        <v>83.9</v>
      </c>
      <c r="J40" s="264"/>
      <c r="K40" s="674">
        <f>ROUND(SUM(K37:K39),1)</f>
        <v>0</v>
      </c>
      <c r="L40" s="20"/>
      <c r="M40" s="340"/>
      <c r="N40" s="264"/>
      <c r="O40" s="674">
        <f>ROUND(SUM(O37:O39),1)</f>
        <v>-174</v>
      </c>
      <c r="P40" s="264"/>
      <c r="Q40" s="674">
        <f>ROUND(SUM(Q37:Q39),1)</f>
        <v>0</v>
      </c>
      <c r="R40" s="264"/>
      <c r="S40" s="674">
        <f>ROUND(SUM(S37:S39),1)</f>
        <v>-403.7</v>
      </c>
      <c r="T40" s="264"/>
      <c r="U40" s="674">
        <f>ROUND(SUM(U37:U39),1)</f>
        <v>-229.7</v>
      </c>
      <c r="V40" s="264"/>
      <c r="W40" s="674">
        <f>ROUND(SUM(W37:W39),1)</f>
        <v>0</v>
      </c>
      <c r="X40" s="44"/>
      <c r="Y40" s="1511"/>
    </row>
    <row r="41" spans="1:25" ht="15.75" thickTop="1">
      <c r="D41" s="264"/>
      <c r="F41" s="264"/>
      <c r="H41" s="264"/>
      <c r="J41" s="264"/>
      <c r="N41" s="264"/>
      <c r="P41" s="264"/>
      <c r="R41" s="264"/>
      <c r="S41" s="268"/>
      <c r="T41" s="264"/>
      <c r="V41" s="264"/>
      <c r="W41" s="256"/>
      <c r="Y41" s="256"/>
    </row>
    <row r="42" spans="1:25" ht="15.75">
      <c r="A42" s="385" t="str">
        <f>'Exh D Governmental  '!A52</f>
        <v>(*)  Source: 2026-27 Enacted Budget dated June 10, 2026.</v>
      </c>
      <c r="D42" s="44"/>
      <c r="F42" s="44"/>
      <c r="G42" s="1792"/>
      <c r="H42" s="44"/>
      <c r="J42" s="44"/>
      <c r="N42" s="44"/>
      <c r="P42" s="44"/>
      <c r="R42" s="44"/>
      <c r="S42" s="1792"/>
      <c r="T42" s="44"/>
      <c r="U42" s="1793"/>
      <c r="V42" s="44"/>
    </row>
    <row r="43" spans="1:25">
      <c r="A43" s="385"/>
      <c r="W43" s="256"/>
      <c r="Y43" s="256"/>
    </row>
    <row r="44" spans="1:25">
      <c r="A44" s="350"/>
    </row>
    <row r="45" spans="1:25">
      <c r="A45" s="350"/>
      <c r="D45" s="291"/>
      <c r="F45" s="291"/>
      <c r="H45" s="291"/>
      <c r="J45" s="291"/>
      <c r="N45" s="291"/>
      <c r="P45" s="291"/>
      <c r="R45" s="291"/>
      <c r="T45" s="291"/>
      <c r="V45" s="291"/>
    </row>
    <row r="46" spans="1:25">
      <c r="A46" s="412"/>
      <c r="D46" s="291"/>
      <c r="F46" s="291"/>
      <c r="H46" s="291"/>
      <c r="J46" s="291"/>
      <c r="N46" s="291"/>
      <c r="P46" s="291"/>
      <c r="R46" s="291"/>
      <c r="T46" s="291"/>
      <c r="V46" s="291"/>
    </row>
    <row r="47" spans="1:25">
      <c r="A47" s="46"/>
    </row>
    <row r="48" spans="1:25">
      <c r="D48" s="291"/>
      <c r="F48" s="291"/>
      <c r="H48" s="291"/>
      <c r="J48" s="291"/>
      <c r="N48" s="291"/>
      <c r="P48" s="291"/>
      <c r="R48" s="291"/>
      <c r="T48" s="291"/>
      <c r="V48" s="291"/>
    </row>
    <row r="49" spans="4:22">
      <c r="D49" s="291"/>
      <c r="F49" s="291"/>
      <c r="H49" s="291"/>
      <c r="J49" s="291"/>
      <c r="N49" s="291"/>
      <c r="P49" s="291"/>
      <c r="R49" s="291"/>
      <c r="T49" s="291"/>
      <c r="V49" s="291"/>
    </row>
    <row r="52" spans="4:22">
      <c r="G52" s="268"/>
    </row>
  </sheetData>
  <customSheetViews>
    <customSheetView guid="{83D69B98-1714-4D17-901F-87B47BE66947}" scale="90" showPageBreaks="1" showGridLines="0" fitToPage="1" printArea="1">
      <selection activeCell="L53" sqref="L53"/>
      <pageMargins left="0.2" right="0.2" top="0.75" bottom="0.75" header="0.3" footer="0.3"/>
      <printOptions horizontalCentered="1"/>
      <pageSetup scale="10" firstPageNumber="14"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12">
      <selection activeCell="L53" sqref="L53"/>
      <pageMargins left="0.2" right="0.2" top="0.75" bottom="0.75" header="0.3" footer="0.3"/>
      <printOptions horizontalCentered="1"/>
      <pageSetup scale="10" firstPageNumber="14"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11">
      <selection activeCell="J29" sqref="J29"/>
      <pageMargins left="0.2" right="0.2" top="0.75" bottom="0.75" header="0.3" footer="0.3"/>
      <printOptions horizontalCentered="1"/>
      <pageSetup scale="50" firstPageNumber="14"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12">
      <selection activeCell="L53" sqref="L53"/>
      <pageMargins left="0.2" right="0.2" top="0.75" bottom="0.75" header="0.3" footer="0.3"/>
      <printOptions horizontalCentered="1"/>
      <pageSetup scale="50" firstPageNumber="14"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14">
      <selection activeCell="W23" sqref="W23"/>
      <pageMargins left="0.2" right="0.2" top="0.75" bottom="0.75" header="0.3" footer="0.3"/>
      <printOptions horizontalCentered="1"/>
      <pageSetup scale="50" firstPageNumber="14" orientation="landscape" useFirstPageNumber="1" r:id="rId5"/>
      <headerFooter scaleWithDoc="0" alignWithMargins="0">
        <oddFooter>&amp;C&amp;8&amp;P</oddFooter>
      </headerFooter>
    </customSheetView>
    <customSheetView guid="{D1467C25-646C-4F1A-9353-0E890E575522}" scale="90" showPageBreaks="1" showGridLines="0" fitToPage="1" printArea="1">
      <selection activeCell="L53" sqref="L53"/>
      <pageMargins left="0.2" right="0.2" top="0.75" bottom="0.75" header="0.3" footer="0.3"/>
      <printOptions horizontalCentered="1"/>
      <pageSetup scale="10" firstPageNumber="14" orientation="landscape" useFirstPageNumber="1" r:id="rId6"/>
      <headerFooter scaleWithDoc="0" alignWithMargins="0">
        <oddFooter>&amp;C&amp;8&amp;P</oddFooter>
      </headerFooter>
    </customSheetView>
    <customSheetView guid="{3A50DD26-AAF5-43D4-97DE-BAE3367A2F29}" scale="90" showPageBreaks="1" showGridLines="0" fitToPage="1" printArea="1" topLeftCell="A9">
      <selection activeCell="K40" sqref="K40"/>
      <pageMargins left="0.2" right="0.2" top="0.75" bottom="0.75" header="0.3" footer="0.3"/>
      <printOptions horizontalCentered="1"/>
      <pageSetup scale="10" firstPageNumber="14"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12">
      <selection activeCell="L53" sqref="L53"/>
      <pageMargins left="0.2" right="0.2" top="0.75" bottom="0.75" header="0.3" footer="0.3"/>
      <printOptions horizontalCentered="1"/>
      <pageSetup scale="50" firstPageNumber="14" orientation="landscape" useFirstPageNumber="1" r:id="rId8"/>
      <headerFooter scaleWithDoc="0" alignWithMargins="0">
        <oddFooter>&amp;C&amp;8&amp;P</oddFooter>
      </headerFooter>
    </customSheetView>
  </customSheetViews>
  <mergeCells count="2">
    <mergeCell ref="C11:I11"/>
    <mergeCell ref="O11:U11"/>
  </mergeCells>
  <printOptions horizontalCentered="1"/>
  <pageMargins left="0.2" right="0.2" top="0.75" bottom="0.75" header="0.3" footer="0.3"/>
  <pageSetup scale="50" firstPageNumber="14" orientation="landscape" useFirstPageNumber="1" r:id="rId9"/>
  <headerFooter scaleWithDoc="0" alignWithMargins="0">
    <oddFooter>&amp;C&amp;8&amp;P</oddFooter>
  </headerFooter>
  <customProperties>
    <customPr name="SheetOptions" r:id="rId10"/>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6"/>
  <sheetViews>
    <sheetView showGridLines="0" zoomScale="80" zoomScaleNormal="80" workbookViewId="0"/>
  </sheetViews>
  <sheetFormatPr defaultColWidth="9.88671875" defaultRowHeight="12.75"/>
  <cols>
    <col min="1" max="1" width="32.109375" style="1319" customWidth="1"/>
    <col min="2" max="2" width="10.88671875" style="1319" customWidth="1"/>
    <col min="3" max="3" width="3.44140625" style="1319" customWidth="1"/>
    <col min="4" max="4" width="12.88671875" style="1319" customWidth="1"/>
    <col min="5" max="5" width="1.88671875" style="1319" customWidth="1"/>
    <col min="6" max="6" width="12.88671875" style="1319" customWidth="1"/>
    <col min="7" max="7" width="1.88671875" style="1319" customWidth="1"/>
    <col min="8" max="8" width="12.88671875" style="1319" customWidth="1"/>
    <col min="9" max="9" width="1.88671875" style="1319" customWidth="1"/>
    <col min="10" max="10" width="12.88671875" style="1319" customWidth="1"/>
    <col min="11" max="11" width="1.88671875" style="1319" customWidth="1"/>
    <col min="12" max="12" width="12.88671875" style="1319" customWidth="1"/>
    <col min="13" max="13" width="1.88671875" style="1319" customWidth="1"/>
    <col min="14" max="14" width="12.88671875" style="1319" customWidth="1"/>
    <col min="15" max="15" width="1.88671875" style="1319" customWidth="1"/>
    <col min="16" max="16" width="12.88671875" style="1319" customWidth="1"/>
    <col min="17" max="17" width="1.88671875" style="1319" customWidth="1"/>
    <col min="18" max="18" width="12.88671875" style="1319" customWidth="1"/>
    <col min="19" max="19" width="1.88671875" style="1319" customWidth="1"/>
    <col min="20" max="20" width="1" style="1319" customWidth="1"/>
    <col min="21" max="21" width="1.88671875" style="1319" customWidth="1"/>
    <col min="22" max="22" width="12.88671875" style="1319" customWidth="1"/>
    <col min="23" max="23" width="1.88671875" style="1319" customWidth="1"/>
    <col min="24" max="24" width="12.88671875" style="1319" customWidth="1"/>
    <col min="25" max="25" width="1.88671875" style="1319" customWidth="1"/>
    <col min="26" max="26" width="1" style="1319" customWidth="1"/>
    <col min="27" max="27" width="1.88671875" style="1319" customWidth="1"/>
    <col min="28" max="28" width="12.88671875" style="1319" customWidth="1"/>
    <col min="29" max="29" width="2" style="1319" customWidth="1"/>
    <col min="30" max="30" width="12.88671875" style="1319" customWidth="1"/>
    <col min="31" max="31" width="1.5546875" style="1319" customWidth="1"/>
    <col min="32" max="32" width="0.44140625" style="1319" customWidth="1"/>
    <col min="33" max="33" width="1.5546875" style="1319" customWidth="1"/>
    <col min="34" max="34" width="11.88671875" style="1319" customWidth="1"/>
    <col min="35" max="35" width="1.88671875" style="1319" customWidth="1"/>
    <col min="36" max="36" width="11.88671875" style="1319" customWidth="1"/>
    <col min="37" max="37" width="2.109375" style="1319" customWidth="1"/>
    <col min="38" max="38" width="1.88671875" style="1319" customWidth="1"/>
    <col min="39" max="39" width="9.88671875" style="1319"/>
    <col min="40" max="40" width="9" style="1319" customWidth="1"/>
    <col min="41" max="16384" width="9.88671875" style="1319"/>
  </cols>
  <sheetData>
    <row r="1" spans="1:39" s="1313" customFormat="1" ht="15">
      <c r="A1" s="284" t="s">
        <v>97</v>
      </c>
    </row>
    <row r="2" spans="1:39" s="1316" customFormat="1">
      <c r="A2" s="1314"/>
      <c r="B2" s="1315"/>
      <c r="C2" s="1315"/>
      <c r="D2" s="1313"/>
      <c r="E2" s="1315"/>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E2" s="1315"/>
      <c r="AF2" s="1315"/>
      <c r="AG2" s="1315"/>
      <c r="AH2" s="1315"/>
    </row>
    <row r="3" spans="1:39" ht="18">
      <c r="A3" s="1317" t="s">
        <v>98</v>
      </c>
      <c r="B3" s="1318"/>
      <c r="C3" s="1318"/>
      <c r="D3" s="1313"/>
      <c r="E3" s="1318"/>
      <c r="F3" s="1318"/>
      <c r="G3" s="1318"/>
      <c r="H3" s="1318"/>
      <c r="I3" s="1318"/>
      <c r="J3" s="1318"/>
      <c r="K3" s="1318"/>
      <c r="L3" s="1823"/>
      <c r="M3" s="1823"/>
      <c r="N3" s="1823"/>
      <c r="O3" s="1823"/>
      <c r="P3" s="1318"/>
      <c r="Q3" s="1318"/>
      <c r="R3" s="1318"/>
      <c r="S3" s="1823"/>
      <c r="T3" s="1318"/>
      <c r="U3" s="1823"/>
      <c r="V3" s="1823"/>
      <c r="W3" s="1823"/>
      <c r="X3" s="1823"/>
      <c r="Y3" s="1823"/>
      <c r="Z3" s="1823"/>
      <c r="AA3" s="1823"/>
      <c r="AB3" s="1823"/>
      <c r="AC3" s="1823"/>
      <c r="AD3" s="1823"/>
      <c r="AE3" s="1823"/>
      <c r="AF3" s="1318"/>
      <c r="AG3" s="1318"/>
      <c r="AH3" s="1824"/>
      <c r="AI3" s="1824"/>
    </row>
    <row r="4" spans="1:39" ht="18">
      <c r="A4" s="1320" t="s">
        <v>100</v>
      </c>
      <c r="B4" s="1318"/>
      <c r="C4" s="1318"/>
      <c r="D4" s="1313"/>
      <c r="E4" s="1318"/>
      <c r="F4" s="1318"/>
      <c r="G4" s="1318"/>
      <c r="H4" s="1318"/>
      <c r="I4" s="1318"/>
      <c r="J4" s="1318"/>
      <c r="K4" s="1318"/>
      <c r="L4" s="1823"/>
      <c r="M4" s="1823"/>
      <c r="N4" s="1823"/>
      <c r="O4" s="1823"/>
      <c r="P4" s="1318"/>
      <c r="Q4" s="1318"/>
      <c r="R4" s="1318"/>
      <c r="S4" s="1823"/>
      <c r="T4" s="1318"/>
      <c r="U4" s="1823"/>
      <c r="V4" s="1823"/>
      <c r="W4" s="1823"/>
      <c r="X4" s="1823"/>
      <c r="Y4" s="1823"/>
      <c r="Z4" s="1823"/>
      <c r="AA4" s="1823"/>
      <c r="AB4" s="1823"/>
      <c r="AC4" s="1823"/>
      <c r="AD4" s="1823"/>
      <c r="AE4" s="1823"/>
      <c r="AF4" s="1318"/>
      <c r="AG4" s="1318"/>
      <c r="AH4" s="1824"/>
      <c r="AI4" s="1824"/>
    </row>
    <row r="5" spans="1:39" ht="18">
      <c r="A5" s="1317" t="s">
        <v>284</v>
      </c>
      <c r="B5" s="1318"/>
      <c r="C5" s="1318"/>
      <c r="D5" s="1313"/>
      <c r="E5" s="1318"/>
      <c r="F5" s="1318"/>
      <c r="G5" s="1318"/>
      <c r="H5" s="1823"/>
      <c r="I5" s="1823"/>
      <c r="J5" s="1823"/>
      <c r="K5" s="1318"/>
      <c r="L5" s="1823"/>
      <c r="M5" s="1823"/>
      <c r="N5" s="1823" t="s">
        <v>103</v>
      </c>
      <c r="O5" s="1823"/>
      <c r="P5" s="1318"/>
      <c r="Q5" s="1318"/>
      <c r="R5" s="1318"/>
      <c r="S5" s="1823"/>
      <c r="T5" s="1318"/>
      <c r="U5" s="1823"/>
      <c r="V5" s="1823"/>
      <c r="W5" s="1823"/>
      <c r="X5" s="1823"/>
      <c r="Y5" s="1823"/>
      <c r="Z5" s="1823"/>
      <c r="AA5" s="1823"/>
      <c r="AB5" s="1823"/>
      <c r="AC5" s="1823"/>
      <c r="AD5" s="1823"/>
      <c r="AE5" s="1823"/>
      <c r="AF5" s="1318"/>
      <c r="AG5" s="1318"/>
      <c r="AH5" s="1824"/>
      <c r="AI5" s="1824"/>
    </row>
    <row r="6" spans="1:39" ht="18">
      <c r="A6" s="1317" t="s">
        <v>102</v>
      </c>
      <c r="B6" s="1318"/>
      <c r="C6" s="1318"/>
      <c r="D6" s="1313"/>
      <c r="E6" s="1318"/>
      <c r="F6" s="1318"/>
      <c r="G6" s="1318"/>
      <c r="H6" s="1318"/>
      <c r="I6" s="1318"/>
      <c r="J6" s="1318"/>
      <c r="K6" s="1318"/>
      <c r="L6" s="1823"/>
      <c r="M6" s="1823"/>
      <c r="N6" s="1823"/>
      <c r="O6" s="1823"/>
      <c r="P6" s="1318"/>
      <c r="Q6" s="1318"/>
      <c r="R6" s="1318"/>
      <c r="S6" s="1823"/>
      <c r="T6" s="1318"/>
      <c r="U6" s="1823"/>
      <c r="V6" s="1823"/>
      <c r="W6" s="1823"/>
      <c r="X6" s="1823"/>
      <c r="Y6" s="1823"/>
      <c r="Z6" s="1823"/>
      <c r="AA6" s="1823"/>
      <c r="AB6" s="1823"/>
      <c r="AC6" s="1823"/>
      <c r="AD6" s="1823"/>
      <c r="AE6" s="1823"/>
      <c r="AF6" s="1318"/>
      <c r="AG6" s="1318"/>
      <c r="AH6" s="1824"/>
      <c r="AI6" s="1824"/>
    </row>
    <row r="7" spans="1:39" ht="18">
      <c r="A7" s="1318"/>
      <c r="B7" s="1318"/>
      <c r="C7" s="1318"/>
      <c r="D7" s="1313"/>
      <c r="E7" s="1318"/>
      <c r="F7" s="1318"/>
      <c r="G7" s="1318"/>
      <c r="H7" s="1318"/>
      <c r="I7" s="1318"/>
      <c r="J7" s="1318"/>
      <c r="K7" s="1318"/>
      <c r="L7" s="1823"/>
      <c r="M7" s="1823"/>
      <c r="N7" s="1823"/>
      <c r="O7" s="1823"/>
      <c r="P7" s="1823"/>
      <c r="Q7" s="1823"/>
      <c r="R7" s="1823"/>
      <c r="S7" s="1823"/>
      <c r="T7" s="1823"/>
      <c r="U7" s="1823"/>
      <c r="V7" s="1823"/>
      <c r="W7" s="1823"/>
      <c r="X7" s="1823"/>
      <c r="Y7" s="1823"/>
      <c r="Z7" s="1823"/>
      <c r="AA7" s="1823"/>
      <c r="AB7" s="1825"/>
      <c r="AC7" s="1825"/>
      <c r="AD7" s="1825"/>
      <c r="AE7" s="1825"/>
      <c r="AF7" s="1318"/>
      <c r="AG7" s="1318"/>
      <c r="AH7" s="1824"/>
      <c r="AI7" s="1824"/>
      <c r="AJ7" s="1826" t="s">
        <v>285</v>
      </c>
    </row>
    <row r="8" spans="1:39" ht="15.75">
      <c r="A8" s="284"/>
      <c r="B8" s="284"/>
      <c r="C8" s="284"/>
      <c r="D8" s="1313"/>
      <c r="E8" s="284"/>
      <c r="F8" s="284"/>
      <c r="G8" s="284"/>
      <c r="H8" s="284"/>
      <c r="I8" s="284"/>
      <c r="J8" s="284"/>
      <c r="K8" s="284"/>
      <c r="L8" s="285"/>
      <c r="M8" s="285"/>
      <c r="N8" s="285"/>
      <c r="O8" s="285"/>
      <c r="P8" s="285"/>
      <c r="Q8" s="285"/>
      <c r="R8" s="285"/>
      <c r="S8" s="285"/>
      <c r="T8" s="285"/>
      <c r="U8" s="285"/>
      <c r="V8" s="285"/>
      <c r="W8" s="285"/>
      <c r="X8" s="285"/>
      <c r="Y8" s="285"/>
      <c r="Z8" s="285"/>
      <c r="AA8" s="285"/>
      <c r="AB8" s="285"/>
      <c r="AC8" s="285"/>
      <c r="AD8" s="285"/>
      <c r="AE8" s="285"/>
      <c r="AF8" s="284"/>
      <c r="AG8" s="284"/>
      <c r="AH8" s="1824"/>
      <c r="AI8" s="1824"/>
    </row>
    <row r="9" spans="1:39" ht="15.75">
      <c r="A9" s="284"/>
      <c r="B9" s="284"/>
      <c r="C9" s="284"/>
      <c r="D9" s="1313"/>
      <c r="E9" s="285"/>
      <c r="F9" s="285"/>
      <c r="G9" s="285"/>
      <c r="H9" s="285"/>
      <c r="I9" s="285"/>
      <c r="J9" s="285"/>
      <c r="K9" s="285"/>
      <c r="L9" s="285"/>
      <c r="M9" s="285"/>
      <c r="N9" s="285"/>
      <c r="O9" s="285"/>
      <c r="P9" s="285"/>
      <c r="Q9" s="285"/>
      <c r="R9" s="285"/>
      <c r="S9" s="285"/>
      <c r="T9" s="285"/>
      <c r="U9" s="285"/>
      <c r="V9" s="1823"/>
      <c r="W9" s="1823"/>
      <c r="X9" s="1823"/>
      <c r="Y9" s="1823"/>
      <c r="Z9" s="1823"/>
      <c r="AA9" s="1823"/>
      <c r="AB9" s="1823"/>
      <c r="AC9" s="1823"/>
      <c r="AD9" s="1823"/>
      <c r="AE9" s="1823"/>
      <c r="AF9" s="285"/>
      <c r="AG9" s="285"/>
      <c r="AH9" s="1827"/>
      <c r="AI9" s="1827"/>
    </row>
    <row r="10" spans="1:39" ht="4.3499999999999996" customHeight="1">
      <c r="A10" s="284"/>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1824"/>
      <c r="AI10" s="1824"/>
    </row>
    <row r="11" spans="1:39" ht="15" customHeight="1">
      <c r="A11" s="284"/>
      <c r="B11" s="284"/>
      <c r="C11" s="284"/>
      <c r="D11" s="1321" t="s">
        <v>104</v>
      </c>
      <c r="E11" s="1321"/>
      <c r="F11" s="1321"/>
      <c r="G11" s="284"/>
      <c r="H11" s="1321" t="s">
        <v>286</v>
      </c>
      <c r="I11" s="1321"/>
      <c r="J11" s="1321"/>
      <c r="K11" s="284"/>
      <c r="L11" s="1321" t="s">
        <v>106</v>
      </c>
      <c r="M11" s="1321"/>
      <c r="N11" s="1321"/>
      <c r="O11" s="284"/>
      <c r="P11" s="1321" t="s">
        <v>287</v>
      </c>
      <c r="Q11" s="1321"/>
      <c r="R11" s="1321"/>
      <c r="S11" s="284"/>
      <c r="T11" s="284"/>
      <c r="U11" s="284"/>
      <c r="V11" s="1828" t="s">
        <v>288</v>
      </c>
      <c r="W11" s="1321"/>
      <c r="X11" s="1321"/>
      <c r="Y11" s="1321"/>
      <c r="Z11" s="1829"/>
      <c r="AA11" s="1829"/>
      <c r="AB11" s="1321"/>
      <c r="AC11" s="1321"/>
      <c r="AD11" s="1321"/>
      <c r="AE11" s="1830"/>
      <c r="AF11" s="1831"/>
      <c r="AG11" s="285"/>
      <c r="AH11" s="1828" t="s">
        <v>204</v>
      </c>
      <c r="AI11" s="1321"/>
      <c r="AJ11" s="1321"/>
    </row>
    <row r="12" spans="1:39" ht="15.75">
      <c r="A12" s="284"/>
      <c r="B12" s="284"/>
      <c r="C12" s="284"/>
      <c r="D12" s="1336" t="s">
        <v>109</v>
      </c>
      <c r="E12" s="1336"/>
      <c r="F12" s="1832" t="str">
        <f>'Exhibit A'!F11</f>
        <v>3 MOS. ENDED</v>
      </c>
      <c r="G12" s="285"/>
      <c r="H12" s="1336" t="s">
        <v>109</v>
      </c>
      <c r="I12" s="1833"/>
      <c r="J12" s="1336" t="str">
        <f>F12</f>
        <v>3 MOS. ENDED</v>
      </c>
      <c r="K12" s="285"/>
      <c r="L12" s="1336" t="s">
        <v>109</v>
      </c>
      <c r="M12" s="1833"/>
      <c r="N12" s="1336" t="str">
        <f>F12</f>
        <v>3 MOS. ENDED</v>
      </c>
      <c r="O12" s="285"/>
      <c r="P12" s="1336" t="s">
        <v>109</v>
      </c>
      <c r="Q12" s="1833"/>
      <c r="R12" s="1336" t="str">
        <f>F12</f>
        <v>3 MOS. ENDED</v>
      </c>
      <c r="S12" s="285"/>
      <c r="T12" s="285"/>
      <c r="U12" s="285"/>
      <c r="V12" s="1336" t="s">
        <v>109</v>
      </c>
      <c r="W12" s="1336"/>
      <c r="X12" s="1336" t="str">
        <f>F12</f>
        <v>3 MOS. ENDED</v>
      </c>
      <c r="Y12" s="1336"/>
      <c r="Z12" s="1834"/>
      <c r="AA12" s="1834"/>
      <c r="AB12" s="1336" t="s">
        <v>109</v>
      </c>
      <c r="AC12" s="1336"/>
      <c r="AD12" s="1336" t="str">
        <f>F12</f>
        <v>3 MOS. ENDED</v>
      </c>
      <c r="AE12" s="1834"/>
      <c r="AF12" s="1834"/>
      <c r="AG12" s="1835"/>
      <c r="AH12" s="1832" t="s">
        <v>110</v>
      </c>
      <c r="AI12" s="1833"/>
      <c r="AJ12" s="1832" t="s">
        <v>111</v>
      </c>
      <c r="AK12" s="1836"/>
      <c r="AL12" s="1824"/>
    </row>
    <row r="13" spans="1:39" ht="15.75">
      <c r="A13" s="284"/>
      <c r="B13" s="284"/>
      <c r="C13" s="284"/>
      <c r="D13" s="1322" t="str">
        <f>'Exhibit A'!D12</f>
        <v>JUNE 2026</v>
      </c>
      <c r="E13" s="1837"/>
      <c r="F13" s="1322" t="str">
        <f>'Exhibit A'!F12</f>
        <v>JUNE 30, 2026</v>
      </c>
      <c r="G13" s="285"/>
      <c r="H13" s="1322" t="str">
        <f>D13</f>
        <v>JUNE 2026</v>
      </c>
      <c r="I13" s="1837"/>
      <c r="J13" s="1322" t="str">
        <f>F13</f>
        <v>JUNE 30, 2026</v>
      </c>
      <c r="K13" s="285"/>
      <c r="L13" s="1322" t="str">
        <f>D13</f>
        <v>JUNE 2026</v>
      </c>
      <c r="M13" s="1837"/>
      <c r="N13" s="1322" t="str">
        <f>F13</f>
        <v>JUNE 30, 2026</v>
      </c>
      <c r="O13" s="285"/>
      <c r="P13" s="1322" t="str">
        <f>D13</f>
        <v>JUNE 2026</v>
      </c>
      <c r="Q13" s="1837"/>
      <c r="R13" s="1322" t="str">
        <f>F13</f>
        <v>JUNE 30, 2026</v>
      </c>
      <c r="S13" s="285"/>
      <c r="T13" s="285"/>
      <c r="U13" s="285"/>
      <c r="V13" s="1838" t="str">
        <f>D13</f>
        <v>JUNE 2026</v>
      </c>
      <c r="W13" s="1838"/>
      <c r="X13" s="1838" t="str">
        <f>F13</f>
        <v>JUNE 30, 2026</v>
      </c>
      <c r="Y13" s="1838"/>
      <c r="Z13" s="1834"/>
      <c r="AA13" s="1834"/>
      <c r="AB13" s="1837" t="str">
        <f>'Exhibit A'!AB12</f>
        <v>JUNE 2025</v>
      </c>
      <c r="AC13" s="1837"/>
      <c r="AD13" s="1837" t="str">
        <f>'Exhibit A'!AD12</f>
        <v>JUNE 30, 2025</v>
      </c>
      <c r="AE13" s="1837"/>
      <c r="AF13" s="1834"/>
      <c r="AG13" s="1838"/>
      <c r="AH13" s="1322" t="s">
        <v>112</v>
      </c>
      <c r="AI13" s="1837"/>
      <c r="AJ13" s="1322" t="s">
        <v>113</v>
      </c>
      <c r="AK13" s="1836"/>
      <c r="AL13" s="1824"/>
    </row>
    <row r="14" spans="1:39" ht="15">
      <c r="A14" s="284"/>
      <c r="B14" s="284"/>
      <c r="C14" s="284"/>
      <c r="D14" s="284"/>
      <c r="E14" s="284"/>
      <c r="F14" s="284"/>
      <c r="G14" s="284"/>
      <c r="H14" s="284"/>
      <c r="I14" s="284"/>
      <c r="J14" s="284"/>
      <c r="K14" s="284"/>
      <c r="L14" s="284"/>
      <c r="M14" s="284"/>
      <c r="N14" s="284"/>
      <c r="O14" s="284"/>
      <c r="P14" s="284"/>
      <c r="Q14" s="284"/>
      <c r="R14" s="284"/>
      <c r="S14" s="284"/>
      <c r="T14" s="1839"/>
      <c r="U14" s="1839"/>
      <c r="V14" s="1840"/>
      <c r="W14" s="284"/>
      <c r="X14" s="1840"/>
      <c r="Y14" s="284"/>
      <c r="Z14" s="1841"/>
      <c r="AA14" s="284"/>
      <c r="AB14" s="1840"/>
      <c r="AC14" s="284"/>
      <c r="AD14" s="1840"/>
      <c r="AE14" s="284"/>
      <c r="AF14" s="1918"/>
      <c r="AG14" s="284"/>
      <c r="AH14" s="284"/>
      <c r="AI14" s="284"/>
      <c r="AK14" s="1824"/>
      <c r="AL14" s="1824"/>
    </row>
    <row r="15" spans="1:39" ht="18" customHeight="1">
      <c r="A15" s="1323" t="s">
        <v>289</v>
      </c>
      <c r="B15" s="1324"/>
      <c r="C15" s="1324"/>
      <c r="D15" s="284"/>
      <c r="E15" s="284"/>
      <c r="F15" s="284"/>
      <c r="G15" s="284"/>
      <c r="H15" s="284"/>
      <c r="I15" s="284"/>
      <c r="J15" s="284"/>
      <c r="K15" s="284"/>
      <c r="L15" s="284"/>
      <c r="M15" s="284"/>
      <c r="N15" s="284"/>
      <c r="O15" s="284"/>
      <c r="P15" s="284"/>
      <c r="Q15" s="284"/>
      <c r="R15" s="284"/>
      <c r="S15" s="284"/>
      <c r="T15" s="1839"/>
      <c r="U15" s="1839"/>
      <c r="V15" s="284"/>
      <c r="W15" s="284"/>
      <c r="X15" s="284"/>
      <c r="Y15" s="284"/>
      <c r="Z15" s="1841"/>
      <c r="AA15" s="284"/>
      <c r="AB15" s="284"/>
      <c r="AC15" s="284"/>
      <c r="AD15" s="284"/>
      <c r="AE15" s="284"/>
      <c r="AF15" s="1918"/>
      <c r="AG15" s="284"/>
      <c r="AH15" s="284"/>
      <c r="AI15" s="284"/>
      <c r="AK15" s="1824"/>
      <c r="AL15" s="1824"/>
    </row>
    <row r="16" spans="1:39" ht="18" customHeight="1">
      <c r="A16" s="1324" t="s">
        <v>290</v>
      </c>
      <c r="B16" s="1324"/>
      <c r="C16" s="1307"/>
      <c r="D16" s="1337">
        <f>'Exhibit F'!H18</f>
        <v>4759.4999999999991</v>
      </c>
      <c r="E16" s="1337"/>
      <c r="F16" s="1337">
        <f>'Exhibit F'!AC18</f>
        <v>14767.8</v>
      </c>
      <c r="G16" s="1337"/>
      <c r="H16" s="1842">
        <v>0</v>
      </c>
      <c r="I16" s="1337"/>
      <c r="J16" s="1842">
        <v>0</v>
      </c>
      <c r="K16" s="1337"/>
      <c r="L16" s="1842">
        <v>0</v>
      </c>
      <c r="M16" s="1337"/>
      <c r="N16" s="1842">
        <v>0</v>
      </c>
      <c r="O16" s="1337"/>
      <c r="P16" s="1842">
        <v>0</v>
      </c>
      <c r="Q16" s="1337"/>
      <c r="R16" s="1842">
        <v>0</v>
      </c>
      <c r="S16" s="1337"/>
      <c r="T16" s="2015"/>
      <c r="U16" s="2016"/>
      <c r="V16" s="1843">
        <f>SUM(D16)+SUM(H16)+SUM(L16)+SUM(P16)</f>
        <v>4759.4999999999991</v>
      </c>
      <c r="W16" s="1337"/>
      <c r="X16" s="1843">
        <f>SUM(F16)+SUM(J16)+SUM(N16)+SUM(R16)</f>
        <v>14767.8</v>
      </c>
      <c r="Y16" s="1842"/>
      <c r="Z16" s="1844"/>
      <c r="AA16" s="1337"/>
      <c r="AB16" s="1940">
        <v>4167.8</v>
      </c>
      <c r="AC16" s="1337"/>
      <c r="AD16" s="1843">
        <f>'Cashflow Governmental'!AE21</f>
        <v>13511</v>
      </c>
      <c r="AE16" s="1843"/>
      <c r="AF16" s="1918"/>
      <c r="AG16" s="1842"/>
      <c r="AH16" s="1843">
        <f>ROUND(SUM(X16)-SUM(AD16),1)</f>
        <v>1256.8</v>
      </c>
      <c r="AI16" s="1305"/>
      <c r="AJ16" s="1845">
        <f>ROUND(AH16/AD16,3)</f>
        <v>9.2999999999999999E-2</v>
      </c>
      <c r="AK16" s="1846"/>
      <c r="AL16" s="1824"/>
      <c r="AM16" s="1847"/>
    </row>
    <row r="17" spans="1:39" ht="18" customHeight="1">
      <c r="A17" s="1325" t="s">
        <v>291</v>
      </c>
      <c r="B17" s="1324"/>
      <c r="C17" s="756"/>
      <c r="D17" s="253">
        <f>'Exhibit F'!H19</f>
        <v>2120.6999999999989</v>
      </c>
      <c r="E17" s="253"/>
      <c r="F17" s="253">
        <f>'Exhibit F'!AC19</f>
        <v>9295.4</v>
      </c>
      <c r="G17" s="253"/>
      <c r="H17" s="255">
        <v>0</v>
      </c>
      <c r="I17" s="1848"/>
      <c r="J17" s="255">
        <v>0</v>
      </c>
      <c r="K17" s="253"/>
      <c r="L17" s="255">
        <v>0</v>
      </c>
      <c r="M17" s="1848"/>
      <c r="N17" s="255">
        <v>0</v>
      </c>
      <c r="O17" s="253"/>
      <c r="P17" s="255">
        <v>0</v>
      </c>
      <c r="Q17" s="1848"/>
      <c r="R17" s="255">
        <v>0</v>
      </c>
      <c r="S17" s="253"/>
      <c r="T17" s="2017"/>
      <c r="U17" s="2017"/>
      <c r="V17" s="1848">
        <f t="shared" ref="V17:V20" si="0">SUM(D17)+SUM(H17)+SUM(L17)+SUM(P17)</f>
        <v>2120.6999999999989</v>
      </c>
      <c r="W17" s="253"/>
      <c r="X17" s="1848">
        <f t="shared" ref="X17:X23" si="1">SUM(F17)+SUM(J17)+SUM(N17)+SUM(R17)</f>
        <v>9295.4</v>
      </c>
      <c r="Y17" s="1849"/>
      <c r="Z17" s="1850"/>
      <c r="AA17" s="253"/>
      <c r="AB17" s="512">
        <v>1783.4</v>
      </c>
      <c r="AC17" s="253"/>
      <c r="AD17" s="1848">
        <f>'Cashflow Governmental'!AE22</f>
        <v>8407.2000000000007</v>
      </c>
      <c r="AE17" s="1848"/>
      <c r="AF17" s="1918"/>
      <c r="AG17" s="1849"/>
      <c r="AH17" s="1848">
        <f>ROUND(SUM(X17)-SUM(AD17),1)</f>
        <v>888.2</v>
      </c>
      <c r="AI17" s="1310"/>
      <c r="AJ17" s="1846">
        <f>ROUND(AH17/AD17,3)</f>
        <v>0.106</v>
      </c>
      <c r="AK17" s="1846"/>
      <c r="AL17" s="1824"/>
      <c r="AM17" s="1847"/>
    </row>
    <row r="18" spans="1:39" ht="18" customHeight="1">
      <c r="A18" s="1324" t="s">
        <v>292</v>
      </c>
      <c r="B18" s="1324" t="s">
        <v>103</v>
      </c>
      <c r="C18" s="1324"/>
      <c r="D18" s="253">
        <f>'Exhibit F'!H20</f>
        <v>113.59999999999991</v>
      </c>
      <c r="E18" s="253"/>
      <c r="F18" s="253">
        <f>'Exhibit F'!AC20</f>
        <v>3343.6</v>
      </c>
      <c r="G18" s="253"/>
      <c r="H18" s="255">
        <v>0</v>
      </c>
      <c r="I18" s="1848"/>
      <c r="J18" s="255">
        <v>0</v>
      </c>
      <c r="K18" s="253"/>
      <c r="L18" s="255">
        <v>0</v>
      </c>
      <c r="M18" s="1848"/>
      <c r="N18" s="255">
        <v>0</v>
      </c>
      <c r="O18" s="253"/>
      <c r="P18" s="255">
        <v>0</v>
      </c>
      <c r="Q18" s="1848"/>
      <c r="R18" s="255">
        <v>0</v>
      </c>
      <c r="S18" s="253"/>
      <c r="T18" s="2017"/>
      <c r="U18" s="2017"/>
      <c r="V18" s="1848">
        <f t="shared" si="0"/>
        <v>113.59999999999991</v>
      </c>
      <c r="W18" s="253"/>
      <c r="X18" s="1848">
        <f t="shared" si="1"/>
        <v>3343.6</v>
      </c>
      <c r="Y18" s="1849"/>
      <c r="Z18" s="1850"/>
      <c r="AA18" s="253"/>
      <c r="AB18" s="512">
        <v>81.8</v>
      </c>
      <c r="AC18" s="253"/>
      <c r="AD18" s="1848">
        <f>'Cashflow Governmental'!AE23</f>
        <v>3091.3</v>
      </c>
      <c r="AE18" s="1848"/>
      <c r="AF18" s="1918"/>
      <c r="AG18" s="1849"/>
      <c r="AH18" s="1848">
        <f>ROUND(SUM(X18)-SUM(AD18),1)</f>
        <v>252.3</v>
      </c>
      <c r="AI18" s="1310"/>
      <c r="AJ18" s="1846">
        <f>ROUND(AH18/AD18,3)</f>
        <v>8.2000000000000003E-2</v>
      </c>
      <c r="AK18" s="1846"/>
      <c r="AL18" s="1824"/>
      <c r="AM18" s="1847"/>
    </row>
    <row r="19" spans="1:39" ht="18" customHeight="1">
      <c r="A19" s="1325" t="s">
        <v>293</v>
      </c>
      <c r="B19" s="1324"/>
      <c r="C19" s="1324"/>
      <c r="D19" s="253">
        <f>'Exhibit F'!H21</f>
        <v>-60.399999999999977</v>
      </c>
      <c r="E19" s="253"/>
      <c r="F19" s="253">
        <f>'Exhibit F'!AC21</f>
        <v>-683.5</v>
      </c>
      <c r="G19" s="253"/>
      <c r="H19" s="255">
        <v>0</v>
      </c>
      <c r="I19" s="1848"/>
      <c r="J19" s="255">
        <v>0</v>
      </c>
      <c r="K19" s="253"/>
      <c r="L19" s="255">
        <v>0</v>
      </c>
      <c r="M19" s="1848"/>
      <c r="N19" s="255">
        <v>0</v>
      </c>
      <c r="O19" s="253"/>
      <c r="P19" s="255">
        <v>0</v>
      </c>
      <c r="Q19" s="1848"/>
      <c r="R19" s="255">
        <v>0</v>
      </c>
      <c r="S19" s="253"/>
      <c r="T19" s="2017"/>
      <c r="U19" s="2017"/>
      <c r="V19" s="1848">
        <f t="shared" si="0"/>
        <v>-60.399999999999977</v>
      </c>
      <c r="W19" s="253"/>
      <c r="X19" s="1848">
        <f t="shared" si="1"/>
        <v>-683.5</v>
      </c>
      <c r="Y19" s="1849"/>
      <c r="Z19" s="1850"/>
      <c r="AA19" s="253"/>
      <c r="AB19" s="512">
        <v>-16.899999999999999</v>
      </c>
      <c r="AC19" s="253"/>
      <c r="AD19" s="1848">
        <f>'Cashflow Governmental'!AE24</f>
        <v>-625</v>
      </c>
      <c r="AE19" s="1848"/>
      <c r="AF19" s="1918"/>
      <c r="AG19" s="1849"/>
      <c r="AH19" s="1848">
        <f>-ROUND(SUM(X19)-SUM(AD19),1)</f>
        <v>58.5</v>
      </c>
      <c r="AI19" s="1310"/>
      <c r="AJ19" s="1846">
        <f>-ROUND(AH19/AD19,3)</f>
        <v>9.4E-2</v>
      </c>
      <c r="AK19" s="1846"/>
      <c r="AL19" s="1824"/>
      <c r="AM19" s="1847"/>
    </row>
    <row r="20" spans="1:39" ht="18" customHeight="1">
      <c r="A20" s="1325" t="s">
        <v>294</v>
      </c>
      <c r="B20" s="1324" t="s">
        <v>103</v>
      </c>
      <c r="C20" s="1324"/>
      <c r="D20" s="253">
        <f>'Exhibit F'!H22</f>
        <v>163.00000000000003</v>
      </c>
      <c r="E20" s="253"/>
      <c r="F20" s="253">
        <f>'Exhibit F'!AC22</f>
        <v>564.9</v>
      </c>
      <c r="G20" s="253"/>
      <c r="H20" s="255">
        <v>0</v>
      </c>
      <c r="I20" s="1848"/>
      <c r="J20" s="255">
        <v>0</v>
      </c>
      <c r="K20" s="253"/>
      <c r="L20" s="255">
        <v>0</v>
      </c>
      <c r="M20" s="1848"/>
      <c r="N20" s="255">
        <v>0</v>
      </c>
      <c r="O20" s="253"/>
      <c r="P20" s="255">
        <v>0</v>
      </c>
      <c r="Q20" s="1848"/>
      <c r="R20" s="255">
        <v>0</v>
      </c>
      <c r="S20" s="253"/>
      <c r="T20" s="2017"/>
      <c r="U20" s="2017"/>
      <c r="V20" s="1848">
        <f t="shared" si="0"/>
        <v>163.00000000000003</v>
      </c>
      <c r="W20" s="253"/>
      <c r="X20" s="1848">
        <f t="shared" si="1"/>
        <v>564.9</v>
      </c>
      <c r="Y20" s="1849"/>
      <c r="Z20" s="1850"/>
      <c r="AA20" s="253"/>
      <c r="AB20" s="512">
        <v>139.4</v>
      </c>
      <c r="AC20" s="253"/>
      <c r="AD20" s="1848">
        <f>'Cashflow Governmental'!AE25</f>
        <v>553.9</v>
      </c>
      <c r="AE20" s="1848"/>
      <c r="AF20" s="1918"/>
      <c r="AG20" s="1849"/>
      <c r="AH20" s="1848">
        <f>ROUND(SUM(X20)-SUM(AD20),1)</f>
        <v>11</v>
      </c>
      <c r="AI20" s="1310"/>
      <c r="AJ20" s="1851">
        <f>ROUND(AH20/AD20,3)</f>
        <v>0.02</v>
      </c>
      <c r="AK20" s="1846"/>
      <c r="AL20" s="1824"/>
      <c r="AM20" s="1847"/>
    </row>
    <row r="21" spans="1:39" s="1326" customFormat="1" ht="18" customHeight="1">
      <c r="A21" s="1323" t="s">
        <v>295</v>
      </c>
      <c r="B21" s="1323"/>
      <c r="C21" s="1323"/>
      <c r="D21" s="2018">
        <f>ROUND(SUM(D16:D20),1)</f>
        <v>7096.4</v>
      </c>
      <c r="E21" s="1"/>
      <c r="F21" s="2018">
        <f>ROUND(SUM(F16:F20),1)</f>
        <v>27288.2</v>
      </c>
      <c r="G21" s="1"/>
      <c r="H21" s="2018">
        <f>ROUND(SUM(H16:H20),1)</f>
        <v>0</v>
      </c>
      <c r="I21" s="1852"/>
      <c r="J21" s="2018">
        <f>ROUND(SUM(J16:J20),1)</f>
        <v>0</v>
      </c>
      <c r="K21" s="1"/>
      <c r="L21" s="2018">
        <f>ROUND(SUM(L16:L20),1)</f>
        <v>0</v>
      </c>
      <c r="M21" s="1852"/>
      <c r="N21" s="2018">
        <f>ROUND(SUM(N16:N20),1)</f>
        <v>0</v>
      </c>
      <c r="O21" s="1"/>
      <c r="P21" s="2018">
        <f>ROUND(SUM(P16:P20),1)</f>
        <v>0</v>
      </c>
      <c r="Q21" s="1852"/>
      <c r="R21" s="2018">
        <f>ROUND(SUM(R16:R20),1)</f>
        <v>0</v>
      </c>
      <c r="S21" s="1"/>
      <c r="T21" s="2019"/>
      <c r="U21" s="2019"/>
      <c r="V21" s="1853">
        <f>ROUND(SUM(V16:V20),1)</f>
        <v>7096.4</v>
      </c>
      <c r="W21" s="1"/>
      <c r="X21" s="1853">
        <f>ROUND(SUM(X16:X20),1)</f>
        <v>27288.2</v>
      </c>
      <c r="Y21" s="1854"/>
      <c r="Z21" s="1855"/>
      <c r="AA21" s="1"/>
      <c r="AB21" s="68">
        <f>ROUND(SUM(AB16:AB20),1)</f>
        <v>6155.5</v>
      </c>
      <c r="AC21" s="1"/>
      <c r="AD21" s="1856">
        <f>ROUND(SUM(AD16:AD20),1)</f>
        <v>24938.400000000001</v>
      </c>
      <c r="AE21" s="1852"/>
      <c r="AF21" s="1918"/>
      <c r="AG21" s="1854"/>
      <c r="AH21" s="1856">
        <f>ROUND(SUM(X21)-SUM(AD21),1)</f>
        <v>2349.8000000000002</v>
      </c>
      <c r="AI21" s="1309"/>
      <c r="AJ21" s="1857">
        <f>ROUND(AH21/AD21,3)</f>
        <v>9.4E-2</v>
      </c>
      <c r="AK21" s="1858"/>
      <c r="AL21" s="1859"/>
      <c r="AM21" s="1860"/>
    </row>
    <row r="22" spans="1:39" ht="18" customHeight="1">
      <c r="A22" s="1325" t="s">
        <v>296</v>
      </c>
      <c r="B22" s="1324"/>
      <c r="C22" s="1324"/>
      <c r="D22" s="512">
        <f>'Exhibit F'!H24</f>
        <v>0</v>
      </c>
      <c r="E22" s="1848"/>
      <c r="F22" s="512">
        <f>'Exhibit F'!AC24</f>
        <v>0</v>
      </c>
      <c r="G22" s="253"/>
      <c r="H22" s="253">
        <f>'Exhibit G'!H17</f>
        <v>0</v>
      </c>
      <c r="I22" s="1848"/>
      <c r="J22" s="512">
        <f>'Exhibit G'!AE17</f>
        <v>0</v>
      </c>
      <c r="K22" s="253"/>
      <c r="L22" s="1009">
        <v>0</v>
      </c>
      <c r="M22" s="1848"/>
      <c r="N22" s="1009">
        <v>0</v>
      </c>
      <c r="O22" s="253"/>
      <c r="P22" s="1009">
        <v>0</v>
      </c>
      <c r="Q22" s="1848"/>
      <c r="R22" s="1009">
        <v>0</v>
      </c>
      <c r="S22" s="253"/>
      <c r="T22" s="2017"/>
      <c r="U22" s="2017"/>
      <c r="V22" s="2020">
        <f>SUM(D22)+SUM(H22)+SUM(L22)+SUM(P22)</f>
        <v>0</v>
      </c>
      <c r="W22" s="253"/>
      <c r="X22" s="2020">
        <f t="shared" si="1"/>
        <v>0</v>
      </c>
      <c r="Y22" s="1849"/>
      <c r="Z22" s="1850"/>
      <c r="AA22" s="253"/>
      <c r="AB22" s="512">
        <v>0</v>
      </c>
      <c r="AC22" s="253"/>
      <c r="AD22" s="1848">
        <f>'Cashflow Governmental'!AE27</f>
        <v>0</v>
      </c>
      <c r="AE22" s="255"/>
      <c r="AF22" s="1918"/>
      <c r="AG22" s="1849"/>
      <c r="AH22" s="255">
        <f>ROUND(SUM(X22)-SUM(AD22),1)</f>
        <v>0</v>
      </c>
      <c r="AI22" s="1310"/>
      <c r="AJ22" s="266">
        <f>ROUND(IF(AD22=0,0,AH22/(AD22)),3)</f>
        <v>0</v>
      </c>
      <c r="AK22" s="1861"/>
      <c r="AL22" s="1824"/>
      <c r="AM22" s="1847"/>
    </row>
    <row r="23" spans="1:39" ht="18" customHeight="1">
      <c r="A23" s="1325" t="s">
        <v>297</v>
      </c>
      <c r="B23" s="1324"/>
      <c r="C23" s="1324"/>
      <c r="D23" s="1107">
        <f>'Exhibit F'!H25</f>
        <v>-3191.4000000000005</v>
      </c>
      <c r="E23" s="253"/>
      <c r="F23" s="512">
        <f>'Exhibit F'!AC25</f>
        <v>-10443.1</v>
      </c>
      <c r="G23" s="253"/>
      <c r="H23" s="255">
        <v>0</v>
      </c>
      <c r="I23" s="1848"/>
      <c r="J23" s="255">
        <v>0</v>
      </c>
      <c r="K23" s="253"/>
      <c r="L23" s="1848">
        <f>'Exhibit H'!F17</f>
        <v>3191.4000000000005</v>
      </c>
      <c r="M23" s="1848"/>
      <c r="N23" s="1848">
        <f>'Exhibit H'!AA17</f>
        <v>10443.1</v>
      </c>
      <c r="O23" s="253"/>
      <c r="P23" s="255">
        <v>0</v>
      </c>
      <c r="Q23" s="1848"/>
      <c r="R23" s="255">
        <v>0</v>
      </c>
      <c r="S23" s="253"/>
      <c r="T23" s="2017"/>
      <c r="U23" s="2017"/>
      <c r="V23" s="1848">
        <f>ROUND(SUM(D23)+SUM(H23)+SUM(L23)+SUM(P23),1)</f>
        <v>0</v>
      </c>
      <c r="W23" s="253"/>
      <c r="X23" s="1848">
        <f t="shared" si="1"/>
        <v>0</v>
      </c>
      <c r="Y23" s="1849"/>
      <c r="Z23" s="1850"/>
      <c r="AA23" s="253"/>
      <c r="AB23" s="512">
        <v>0</v>
      </c>
      <c r="AC23" s="253"/>
      <c r="AD23" s="1848">
        <f>'Cashflow Governmental'!AE28</f>
        <v>0</v>
      </c>
      <c r="AE23" s="255"/>
      <c r="AF23" s="1918"/>
      <c r="AG23" s="1849"/>
      <c r="AH23" s="255">
        <f>ROUND(SUM(X23)-SUM(AD23),1)</f>
        <v>0</v>
      </c>
      <c r="AI23" s="1310"/>
      <c r="AJ23" s="266">
        <f>ROUND(IF(AD23=0,0,AH23/(AD23)),3)</f>
        <v>0</v>
      </c>
      <c r="AK23" s="1861"/>
      <c r="AL23" s="1824"/>
      <c r="AM23" s="1847"/>
    </row>
    <row r="24" spans="1:39" ht="18" customHeight="1">
      <c r="A24" s="1324" t="s">
        <v>298</v>
      </c>
      <c r="B24" s="1324"/>
      <c r="C24" s="1324"/>
      <c r="D24" s="1107">
        <f>'Exhibit F'!H26</f>
        <v>-713.60000000000036</v>
      </c>
      <c r="E24" s="253"/>
      <c r="F24" s="512">
        <f>'Exhibit F'!AC26</f>
        <v>-6402</v>
      </c>
      <c r="G24" s="253"/>
      <c r="H24" s="255">
        <v>0</v>
      </c>
      <c r="I24" s="1848"/>
      <c r="J24" s="255">
        <v>0</v>
      </c>
      <c r="K24" s="253"/>
      <c r="L24" s="255">
        <v>0</v>
      </c>
      <c r="M24" s="1848"/>
      <c r="N24" s="255">
        <v>0</v>
      </c>
      <c r="O24" s="253"/>
      <c r="P24" s="255">
        <v>0</v>
      </c>
      <c r="Q24" s="1848"/>
      <c r="R24" s="255">
        <v>0</v>
      </c>
      <c r="S24" s="253"/>
      <c r="T24" s="2017"/>
      <c r="U24" s="2017"/>
      <c r="V24" s="1848">
        <f>SUM(D24)+SUM(H24)+SUM(L24)+SUM(P24)</f>
        <v>-713.60000000000036</v>
      </c>
      <c r="W24" s="253"/>
      <c r="X24" s="1848">
        <f>SUM(F24)+SUM(J24)+SUM(N24)+SUM(R24)</f>
        <v>-6402</v>
      </c>
      <c r="Y24" s="1849"/>
      <c r="Z24" s="1850"/>
      <c r="AA24" s="253"/>
      <c r="AB24" s="512">
        <v>-464.2</v>
      </c>
      <c r="AC24" s="253"/>
      <c r="AD24" s="1848">
        <f>'Cashflow Governmental'!AE29</f>
        <v>-5729.1</v>
      </c>
      <c r="AE24" s="1848"/>
      <c r="AF24" s="1918"/>
      <c r="AG24" s="1849"/>
      <c r="AH24" s="1848">
        <f>-ROUND(SUM(X24)-SUM(AD24),1)</f>
        <v>672.9</v>
      </c>
      <c r="AI24" s="1310"/>
      <c r="AJ24" s="1862">
        <f>-ROUND(AH24/AD24,3)</f>
        <v>0.11700000000000001</v>
      </c>
      <c r="AK24" s="1846"/>
      <c r="AL24" s="1824"/>
      <c r="AM24" s="1847"/>
    </row>
    <row r="25" spans="1:39" ht="18" customHeight="1">
      <c r="A25" s="1327" t="s">
        <v>299</v>
      </c>
      <c r="B25" s="1324"/>
      <c r="C25" s="1324"/>
      <c r="D25" s="2021">
        <f>ROUND(SUM(D21:D24),1)</f>
        <v>3191.4</v>
      </c>
      <c r="E25" s="1"/>
      <c r="F25" s="2021">
        <f>ROUND(SUM(F21:F24),1)</f>
        <v>10443.1</v>
      </c>
      <c r="G25" s="1"/>
      <c r="H25" s="1010">
        <f>ROUND(SUM(H21:H24),1)</f>
        <v>0</v>
      </c>
      <c r="I25" s="1852"/>
      <c r="J25" s="1010">
        <f>ROUND(SUM(J21:J24),1)</f>
        <v>0</v>
      </c>
      <c r="K25" s="1"/>
      <c r="L25" s="1010">
        <f>ROUND(SUM(L21:L24),1)</f>
        <v>3191.4</v>
      </c>
      <c r="M25" s="1852"/>
      <c r="N25" s="1010">
        <f>ROUND(SUM(N21:N24),1)</f>
        <v>10443.1</v>
      </c>
      <c r="O25" s="1"/>
      <c r="P25" s="1010">
        <f>ROUND(SUM(P21:P24),1)</f>
        <v>0</v>
      </c>
      <c r="Q25" s="1852"/>
      <c r="R25" s="1010">
        <f>ROUND(SUM(R21:R24),1)</f>
        <v>0</v>
      </c>
      <c r="S25" s="1"/>
      <c r="T25" s="2019"/>
      <c r="U25" s="2019"/>
      <c r="V25" s="1853">
        <f>ROUND(SUM(V21:V24),1)</f>
        <v>6382.8</v>
      </c>
      <c r="W25" s="1"/>
      <c r="X25" s="1853">
        <f>ROUND(SUM(X21:X24),1)</f>
        <v>20886.2</v>
      </c>
      <c r="Y25" s="1863"/>
      <c r="Z25" s="1855"/>
      <c r="AA25" s="1"/>
      <c r="AB25" s="1941">
        <f>ROUND(SUM(AB21:AB24),1)</f>
        <v>5691.3</v>
      </c>
      <c r="AC25" s="1"/>
      <c r="AD25" s="1853">
        <f>ROUND(SUM(AD21:AD24),1)</f>
        <v>19209.3</v>
      </c>
      <c r="AE25" s="1" t="s">
        <v>103</v>
      </c>
      <c r="AF25" s="1918"/>
      <c r="AG25" s="1854"/>
      <c r="AH25" s="1864">
        <f>ROUND(SUM(X25)-SUM(AD25),1)</f>
        <v>1676.9</v>
      </c>
      <c r="AI25" s="1309"/>
      <c r="AJ25" s="1865">
        <f>ROUND(AH25/AD25,3)</f>
        <v>8.6999999999999994E-2</v>
      </c>
      <c r="AK25" s="1858"/>
      <c r="AL25" s="1859"/>
      <c r="AM25" s="1847"/>
    </row>
    <row r="26" spans="1:39" ht="18" customHeight="1">
      <c r="A26" s="1324"/>
      <c r="B26" s="1324"/>
      <c r="C26" s="1324"/>
      <c r="D26" s="1338"/>
      <c r="E26" s="253"/>
      <c r="F26" s="1338" t="s">
        <v>103</v>
      </c>
      <c r="G26" s="253"/>
      <c r="H26" s="1338"/>
      <c r="I26" s="253"/>
      <c r="J26" s="1338" t="s">
        <v>230</v>
      </c>
      <c r="K26" s="253"/>
      <c r="L26" s="1338" t="s">
        <v>103</v>
      </c>
      <c r="M26" s="253"/>
      <c r="N26" s="1338" t="s">
        <v>103</v>
      </c>
      <c r="O26" s="253"/>
      <c r="P26" s="1338"/>
      <c r="Q26" s="253"/>
      <c r="R26" s="1338"/>
      <c r="S26" s="253"/>
      <c r="T26" s="2017"/>
      <c r="U26" s="2017"/>
      <c r="V26" s="1338"/>
      <c r="W26" s="253"/>
      <c r="X26" s="1338"/>
      <c r="Y26" s="253"/>
      <c r="Z26" s="1850"/>
      <c r="AA26" s="253"/>
      <c r="AB26" s="1338"/>
      <c r="AC26" s="253"/>
      <c r="AD26" s="1338"/>
      <c r="AE26" s="253"/>
      <c r="AF26" s="1918"/>
      <c r="AG26" s="253"/>
      <c r="AH26" s="253"/>
      <c r="AI26" s="1305"/>
      <c r="AJ26" s="1866"/>
      <c r="AK26" s="1861"/>
      <c r="AL26" s="1824"/>
      <c r="AM26" s="1847"/>
    </row>
    <row r="27" spans="1:39" ht="18" customHeight="1">
      <c r="A27" s="1327" t="s">
        <v>300</v>
      </c>
      <c r="B27" s="1324"/>
      <c r="C27" s="756"/>
      <c r="D27" s="2035"/>
      <c r="E27" s="253"/>
      <c r="F27" s="253"/>
      <c r="G27" s="253"/>
      <c r="H27" s="253"/>
      <c r="I27" s="253"/>
      <c r="J27" s="253"/>
      <c r="K27" s="253"/>
      <c r="L27" s="253"/>
      <c r="M27" s="253"/>
      <c r="N27" s="253"/>
      <c r="O27" s="253"/>
      <c r="P27" s="253"/>
      <c r="Q27" s="253"/>
      <c r="R27" s="253"/>
      <c r="S27" s="253"/>
      <c r="T27" s="2017"/>
      <c r="U27" s="2017"/>
      <c r="V27" s="253"/>
      <c r="W27" s="253"/>
      <c r="X27" s="253"/>
      <c r="Y27" s="253"/>
      <c r="Z27" s="1850"/>
      <c r="AA27" s="253"/>
      <c r="AB27" s="253"/>
      <c r="AC27" s="253"/>
      <c r="AD27" s="253"/>
      <c r="AE27" s="253"/>
      <c r="AF27" s="1918"/>
      <c r="AG27" s="253"/>
      <c r="AH27" s="253"/>
      <c r="AI27" s="1305"/>
      <c r="AJ27" s="1866"/>
      <c r="AK27" s="1861"/>
      <c r="AL27" s="1824"/>
      <c r="AM27" s="1847"/>
    </row>
    <row r="28" spans="1:39" ht="18" customHeight="1">
      <c r="A28" s="1324" t="s">
        <v>301</v>
      </c>
      <c r="B28" s="1324"/>
      <c r="C28" s="1324"/>
      <c r="D28" s="253">
        <f>'Exhibit F'!H29</f>
        <v>1018.0999999999999</v>
      </c>
      <c r="E28" s="253"/>
      <c r="F28" s="253">
        <f>'Exhibit F'!AC29</f>
        <v>2634.5</v>
      </c>
      <c r="G28" s="253"/>
      <c r="H28" s="253">
        <f>'Exhibit G'!H20</f>
        <v>142.69999999999999</v>
      </c>
      <c r="I28" s="253"/>
      <c r="J28" s="253">
        <f>'Exhibit G'!AE20</f>
        <v>408.6</v>
      </c>
      <c r="K28" s="253"/>
      <c r="L28" s="1848">
        <f>'Exhibit H'!F20</f>
        <v>1017.5</v>
      </c>
      <c r="M28" s="1848"/>
      <c r="N28" s="1848">
        <f>'Exhibit H'!AA20</f>
        <v>2632.1</v>
      </c>
      <c r="O28" s="253"/>
      <c r="P28" s="255">
        <v>0</v>
      </c>
      <c r="Q28" s="1848"/>
      <c r="R28" s="255">
        <v>0</v>
      </c>
      <c r="S28" s="253"/>
      <c r="T28" s="2017"/>
      <c r="U28" s="2017"/>
      <c r="V28" s="1848">
        <f t="shared" ref="V28:V34" si="2">SUM(D28)+SUM(H28)+SUM(L28)+SUM(P28)</f>
        <v>2178.3000000000002</v>
      </c>
      <c r="W28" s="253"/>
      <c r="X28" s="1848">
        <f t="shared" ref="X28:X35" si="3">SUM(F28)+SUM(J28)+SUM(N28)+SUM(R28)</f>
        <v>5675.2</v>
      </c>
      <c r="Y28" s="253"/>
      <c r="Z28" s="1850"/>
      <c r="AA28" s="253"/>
      <c r="AB28" s="1942">
        <v>2006.1</v>
      </c>
      <c r="AC28" s="253"/>
      <c r="AD28" s="1848">
        <f>'Cashflow Governmental'!AE32</f>
        <v>5252.9</v>
      </c>
      <c r="AE28" s="1848"/>
      <c r="AF28" s="1918"/>
      <c r="AG28" s="253"/>
      <c r="AH28" s="253">
        <f t="shared" ref="AH28:AH38" si="4">ROUND(SUM(X28)-SUM(AD28),1)</f>
        <v>422.3</v>
      </c>
      <c r="AI28" s="1310"/>
      <c r="AJ28" s="1846">
        <f t="shared" ref="AJ28:AJ38" si="5">ROUND(AH28/AD28,3)</f>
        <v>0.08</v>
      </c>
      <c r="AK28" s="1846"/>
      <c r="AL28" s="1824"/>
      <c r="AM28" s="1847"/>
    </row>
    <row r="29" spans="1:39" ht="18" customHeight="1">
      <c r="A29" s="1325" t="s">
        <v>302</v>
      </c>
      <c r="B29" s="1324"/>
      <c r="C29" s="286"/>
      <c r="D29" s="253">
        <f>'Exhibit F'!H30</f>
        <v>0</v>
      </c>
      <c r="E29" s="1848"/>
      <c r="F29" s="253">
        <f>'Exhibit F'!AC30</f>
        <v>0</v>
      </c>
      <c r="G29" s="253"/>
      <c r="H29" s="253">
        <f>'Exhibit G'!H21</f>
        <v>9</v>
      </c>
      <c r="I29" s="1848"/>
      <c r="J29" s="253">
        <f>'Exhibit G'!AE21</f>
        <v>10.7</v>
      </c>
      <c r="K29" s="253"/>
      <c r="L29" s="255">
        <v>0</v>
      </c>
      <c r="M29" s="1848"/>
      <c r="N29" s="255">
        <v>0</v>
      </c>
      <c r="O29" s="253"/>
      <c r="P29" s="512">
        <f>'Exhibit I'!I18</f>
        <v>23.8</v>
      </c>
      <c r="Q29" s="253"/>
      <c r="R29" s="512">
        <f>'Exhibit I'!AF18</f>
        <v>23.5</v>
      </c>
      <c r="S29" s="253"/>
      <c r="T29" s="2017"/>
      <c r="U29" s="2017"/>
      <c r="V29" s="1848">
        <f t="shared" si="2"/>
        <v>32.799999999999997</v>
      </c>
      <c r="W29" s="253"/>
      <c r="X29" s="1848">
        <f t="shared" si="3"/>
        <v>34.200000000000003</v>
      </c>
      <c r="Y29" s="1849"/>
      <c r="Z29" s="1850"/>
      <c r="AA29" s="253"/>
      <c r="AB29" s="512">
        <v>32.5</v>
      </c>
      <c r="AC29" s="253"/>
      <c r="AD29" s="1848">
        <f>'Cashflow Governmental'!AE33</f>
        <v>42.6</v>
      </c>
      <c r="AE29" s="1848"/>
      <c r="AF29" s="1918"/>
      <c r="AG29" s="1849"/>
      <c r="AH29" s="1848">
        <f t="shared" si="4"/>
        <v>-8.4</v>
      </c>
      <c r="AI29" s="1311"/>
      <c r="AJ29" s="1846">
        <f t="shared" si="5"/>
        <v>-0.19700000000000001</v>
      </c>
      <c r="AK29" s="1846"/>
      <c r="AL29" s="1824"/>
      <c r="AM29" s="1847"/>
    </row>
    <row r="30" spans="1:39" ht="18" customHeight="1">
      <c r="A30" s="1324" t="s">
        <v>303</v>
      </c>
      <c r="B30" s="1324"/>
      <c r="C30" s="1324"/>
      <c r="D30" s="253">
        <f>'Exhibit F'!H31</f>
        <v>21.799999999999994</v>
      </c>
      <c r="E30" s="253"/>
      <c r="F30" s="253">
        <f>'Exhibit F'!AC31</f>
        <v>60.4</v>
      </c>
      <c r="G30" s="253"/>
      <c r="H30" s="253">
        <f>'Exhibit G'!H22</f>
        <v>48.400000000000013</v>
      </c>
      <c r="I30" s="1848"/>
      <c r="J30" s="253">
        <f>'Exhibit G'!AE22</f>
        <v>141</v>
      </c>
      <c r="K30" s="253"/>
      <c r="L30" s="255">
        <v>0</v>
      </c>
      <c r="M30" s="1848"/>
      <c r="N30" s="255">
        <v>0</v>
      </c>
      <c r="O30" s="253"/>
      <c r="P30" s="255">
        <v>0</v>
      </c>
      <c r="Q30" s="1848"/>
      <c r="R30" s="255">
        <v>0</v>
      </c>
      <c r="S30" s="253"/>
      <c r="T30" s="2017"/>
      <c r="U30" s="2017"/>
      <c r="V30" s="1848">
        <f t="shared" si="2"/>
        <v>70.2</v>
      </c>
      <c r="W30" s="253"/>
      <c r="X30" s="1848">
        <f t="shared" si="3"/>
        <v>201.4</v>
      </c>
      <c r="Y30" s="1849"/>
      <c r="Z30" s="1850"/>
      <c r="AA30" s="253"/>
      <c r="AB30" s="512">
        <v>61.9</v>
      </c>
      <c r="AC30" s="253"/>
      <c r="AD30" s="1848">
        <f>'Cashflow Governmental'!AE34</f>
        <v>205.3</v>
      </c>
      <c r="AE30" s="512"/>
      <c r="AF30" s="1919"/>
      <c r="AG30" s="1849"/>
      <c r="AH30" s="1848">
        <f t="shared" si="4"/>
        <v>-3.9</v>
      </c>
      <c r="AI30" s="1310"/>
      <c r="AJ30" s="1846">
        <f t="shared" si="5"/>
        <v>-1.9E-2</v>
      </c>
      <c r="AK30" s="1846"/>
      <c r="AL30" s="1824"/>
      <c r="AM30" s="1847"/>
    </row>
    <row r="31" spans="1:39" ht="18" customHeight="1">
      <c r="A31" s="1324" t="s">
        <v>304</v>
      </c>
      <c r="B31" s="253"/>
      <c r="C31" s="1324"/>
      <c r="D31" s="253">
        <v>0</v>
      </c>
      <c r="E31" s="253"/>
      <c r="F31" s="253">
        <v>0</v>
      </c>
      <c r="G31" s="253"/>
      <c r="H31" s="253">
        <f>'Exhibit G'!H23</f>
        <v>53.1</v>
      </c>
      <c r="I31" s="1848"/>
      <c r="J31" s="253">
        <f>'Exhibit G'!AE23</f>
        <v>59.1</v>
      </c>
      <c r="K31" s="253"/>
      <c r="L31" s="255">
        <v>0</v>
      </c>
      <c r="M31" s="1848"/>
      <c r="N31" s="255">
        <v>0</v>
      </c>
      <c r="O31" s="253"/>
      <c r="P31" s="255">
        <v>0</v>
      </c>
      <c r="Q31" s="1848"/>
      <c r="R31" s="255">
        <v>0</v>
      </c>
      <c r="S31" s="253"/>
      <c r="T31" s="2017"/>
      <c r="U31" s="2017"/>
      <c r="V31" s="1848">
        <f>SUM(D31)+SUM(H31)+SUM(L31)+SUM(P31)</f>
        <v>53.1</v>
      </c>
      <c r="W31" s="253"/>
      <c r="X31" s="1848">
        <f>SUM(F31)+SUM(J31)+SUM(N31)+SUM(R31)</f>
        <v>59.1</v>
      </c>
      <c r="Y31" s="1849"/>
      <c r="Z31" s="1850"/>
      <c r="AA31" s="253"/>
      <c r="AB31" s="512">
        <v>38.5</v>
      </c>
      <c r="AC31" s="253"/>
      <c r="AD31" s="1848">
        <f>'Cashflow Governmental'!AE35</f>
        <v>36.299999999999997</v>
      </c>
      <c r="AE31" s="512"/>
      <c r="AF31" s="1919"/>
      <c r="AG31" s="1849"/>
      <c r="AH31" s="1848">
        <f>ROUND(SUM(X31)-SUM(AD31),1)</f>
        <v>22.8</v>
      </c>
      <c r="AI31" s="1310"/>
      <c r="AJ31" s="374">
        <f>ROUND(IF(AD31=0,0,AH31/ABS(AD31)),3)</f>
        <v>0.628</v>
      </c>
      <c r="AK31" s="1846"/>
      <c r="AL31" s="1824"/>
      <c r="AM31" s="1847"/>
    </row>
    <row r="32" spans="1:39" ht="18" customHeight="1">
      <c r="A32" s="1324" t="s">
        <v>305</v>
      </c>
      <c r="B32" s="1324"/>
      <c r="C32" s="1324"/>
      <c r="D32" s="253">
        <f>'Exhibit F'!H32</f>
        <v>0</v>
      </c>
      <c r="E32" s="1848"/>
      <c r="F32" s="253">
        <f>'Exhibit F'!AC32</f>
        <v>0</v>
      </c>
      <c r="G32" s="253"/>
      <c r="H32" s="253">
        <f>'Exhibit G'!H24</f>
        <v>9.5</v>
      </c>
      <c r="I32" s="1848"/>
      <c r="J32" s="253">
        <f>'Exhibit G'!AE24</f>
        <v>26</v>
      </c>
      <c r="K32" s="253"/>
      <c r="L32" s="255">
        <v>0</v>
      </c>
      <c r="M32" s="1848"/>
      <c r="N32" s="255">
        <v>0</v>
      </c>
      <c r="O32" s="253"/>
      <c r="P32" s="253">
        <f>'Exhibit I'!I19</f>
        <v>34.300000000000004</v>
      </c>
      <c r="Q32" s="1848"/>
      <c r="R32" s="253">
        <f>'Exhibit I'!AF19</f>
        <v>95.4</v>
      </c>
      <c r="S32" s="253"/>
      <c r="T32" s="2017"/>
      <c r="U32" s="2017"/>
      <c r="V32" s="1848">
        <f t="shared" si="2"/>
        <v>43.800000000000004</v>
      </c>
      <c r="W32" s="253"/>
      <c r="X32" s="1848">
        <f t="shared" si="3"/>
        <v>121.4</v>
      </c>
      <c r="Y32" s="253"/>
      <c r="Z32" s="1850"/>
      <c r="AA32" s="253"/>
      <c r="AB32" s="512">
        <v>42</v>
      </c>
      <c r="AC32" s="253"/>
      <c r="AD32" s="1848">
        <f>'Cashflow Governmental'!AE36</f>
        <v>120.80000000000001</v>
      </c>
      <c r="AE32" s="1848"/>
      <c r="AF32" s="1919"/>
      <c r="AG32" s="253"/>
      <c r="AH32" s="1848">
        <f t="shared" si="4"/>
        <v>0.6</v>
      </c>
      <c r="AI32" s="1305"/>
      <c r="AJ32" s="374">
        <f t="shared" ref="AJ32" si="6">ROUND(IF(AD32=0,0,AH32/ABS(AD32)),3)</f>
        <v>5.0000000000000001E-3</v>
      </c>
      <c r="AK32" s="1846"/>
      <c r="AL32" s="1824"/>
      <c r="AM32" s="1847"/>
    </row>
    <row r="33" spans="1:39" ht="18" customHeight="1">
      <c r="A33" s="421" t="s">
        <v>306</v>
      </c>
      <c r="B33" s="1324"/>
      <c r="C33" s="1324"/>
      <c r="D33" s="253">
        <f>'Exhibit F'!H33</f>
        <v>0.10000000000000003</v>
      </c>
      <c r="E33" s="1848"/>
      <c r="F33" s="253">
        <f>'Exhibit F'!AC33</f>
        <v>-0.3</v>
      </c>
      <c r="G33" s="253"/>
      <c r="H33" s="253">
        <f>'Exhibit G'!H25</f>
        <v>0</v>
      </c>
      <c r="I33" s="1848"/>
      <c r="J33" s="253">
        <f>'Exhibit G'!AE25</f>
        <v>0</v>
      </c>
      <c r="K33" s="253"/>
      <c r="L33" s="255">
        <v>0</v>
      </c>
      <c r="M33" s="1848"/>
      <c r="N33" s="255">
        <v>0</v>
      </c>
      <c r="O33" s="253"/>
      <c r="P33" s="253">
        <v>0</v>
      </c>
      <c r="Q33" s="1848"/>
      <c r="R33" s="253">
        <v>0</v>
      </c>
      <c r="S33" s="253"/>
      <c r="T33" s="2017"/>
      <c r="U33" s="2017"/>
      <c r="V33" s="1848">
        <f t="shared" si="2"/>
        <v>0.10000000000000003</v>
      </c>
      <c r="W33" s="253"/>
      <c r="X33" s="1848">
        <f t="shared" si="3"/>
        <v>-0.3</v>
      </c>
      <c r="Y33" s="253"/>
      <c r="Z33" s="1850"/>
      <c r="AA33" s="253"/>
      <c r="AB33" s="512">
        <v>0.30000000000000004</v>
      </c>
      <c r="AC33" s="253"/>
      <c r="AD33" s="1848">
        <f>'Cashflow Governmental'!AE37</f>
        <v>0.30000000000000004</v>
      </c>
      <c r="AE33" s="1848"/>
      <c r="AF33" s="1919"/>
      <c r="AG33" s="253"/>
      <c r="AH33" s="1848">
        <f t="shared" ref="AH33" si="7">ROUND(SUM(X33)-SUM(AD33),1)</f>
        <v>-0.6</v>
      </c>
      <c r="AI33" s="1305"/>
      <c r="AJ33" s="374">
        <f>ROUND(IF(AD33=0,1,AH33/ABS(AD33)),3)</f>
        <v>-2</v>
      </c>
      <c r="AK33" s="1846"/>
      <c r="AL33" s="1824"/>
      <c r="AM33" s="1847"/>
    </row>
    <row r="34" spans="1:39" ht="18" customHeight="1">
      <c r="A34" s="1324" t="s">
        <v>307</v>
      </c>
      <c r="B34" s="1324"/>
      <c r="C34" s="1324"/>
      <c r="D34" s="253">
        <f>'Exhibit F'!H34</f>
        <v>23.700000000000003</v>
      </c>
      <c r="E34" s="253"/>
      <c r="F34" s="253">
        <f>'Exhibit F'!AC34</f>
        <v>67.900000000000006</v>
      </c>
      <c r="G34" s="253"/>
      <c r="H34" s="253">
        <f>'Exhibit G'!H26</f>
        <v>0</v>
      </c>
      <c r="I34" s="1848"/>
      <c r="J34" s="253">
        <f>'Exhibit G'!AE26</f>
        <v>0</v>
      </c>
      <c r="K34" s="253"/>
      <c r="L34" s="255">
        <v>0</v>
      </c>
      <c r="M34" s="1848"/>
      <c r="N34" s="255">
        <v>0</v>
      </c>
      <c r="O34" s="253"/>
      <c r="P34" s="255">
        <v>0</v>
      </c>
      <c r="Q34" s="1848"/>
      <c r="R34" s="255">
        <v>0</v>
      </c>
      <c r="S34" s="253"/>
      <c r="T34" s="2017"/>
      <c r="U34" s="2017"/>
      <c r="V34" s="1848">
        <f t="shared" si="2"/>
        <v>23.700000000000003</v>
      </c>
      <c r="W34" s="253"/>
      <c r="X34" s="1848">
        <f t="shared" si="3"/>
        <v>67.900000000000006</v>
      </c>
      <c r="Y34" s="1849"/>
      <c r="Z34" s="1850"/>
      <c r="AA34" s="253"/>
      <c r="AB34" s="512">
        <v>23.4</v>
      </c>
      <c r="AC34" s="253"/>
      <c r="AD34" s="1848">
        <f>'Cashflow Governmental'!AE38</f>
        <v>65.5</v>
      </c>
      <c r="AE34" s="1848"/>
      <c r="AF34" s="1919"/>
      <c r="AG34" s="1849"/>
      <c r="AH34" s="1848">
        <f t="shared" si="4"/>
        <v>2.4</v>
      </c>
      <c r="AI34" s="1310"/>
      <c r="AJ34" s="266">
        <f t="shared" ref="AJ34:AJ35" si="8">ROUND(IF(AD34=0,1,AH34/(AD34)),3)</f>
        <v>3.6999999999999998E-2</v>
      </c>
      <c r="AK34" s="1846"/>
      <c r="AL34" s="1824"/>
      <c r="AM34" s="1847"/>
    </row>
    <row r="35" spans="1:39" ht="18" customHeight="1">
      <c r="A35" s="1324" t="s">
        <v>308</v>
      </c>
      <c r="B35" s="1324"/>
      <c r="C35" s="1324"/>
      <c r="D35" s="253">
        <f>'Exhibit F'!H35</f>
        <v>0</v>
      </c>
      <c r="E35" s="1848"/>
      <c r="F35" s="253">
        <f>'Exhibit F'!AC35</f>
        <v>0</v>
      </c>
      <c r="G35" s="253"/>
      <c r="H35" s="253">
        <f>'Exhibit G'!H27</f>
        <v>0</v>
      </c>
      <c r="I35" s="1848"/>
      <c r="J35" s="253">
        <f>'Exhibit G'!AE27</f>
        <v>0.1</v>
      </c>
      <c r="K35" s="253"/>
      <c r="L35" s="255">
        <v>0</v>
      </c>
      <c r="M35" s="1848"/>
      <c r="N35" s="255">
        <v>0</v>
      </c>
      <c r="O35" s="253"/>
      <c r="P35" s="253">
        <f>'Exhibit I'!I20</f>
        <v>9.1</v>
      </c>
      <c r="Q35" s="1848"/>
      <c r="R35" s="253">
        <f>'Exhibit I'!AF20</f>
        <v>31.4</v>
      </c>
      <c r="S35" s="253"/>
      <c r="T35" s="2017"/>
      <c r="U35" s="2017"/>
      <c r="V35" s="1848">
        <f>SUM(D35)+SUM(H35)+SUM(L35)+SUM(P35)</f>
        <v>9.1</v>
      </c>
      <c r="W35" s="253"/>
      <c r="X35" s="1848">
        <f t="shared" si="3"/>
        <v>31.5</v>
      </c>
      <c r="Y35" s="1849"/>
      <c r="Z35" s="1850"/>
      <c r="AA35" s="253"/>
      <c r="AB35" s="512">
        <v>10</v>
      </c>
      <c r="AC35" s="253"/>
      <c r="AD35" s="1848">
        <f>'Cashflow Governmental'!AE39</f>
        <v>33.900000000000006</v>
      </c>
      <c r="AE35" s="512"/>
      <c r="AF35" s="1919"/>
      <c r="AG35" s="1849"/>
      <c r="AH35" s="255">
        <f t="shared" si="4"/>
        <v>-2.4</v>
      </c>
      <c r="AI35" s="1311"/>
      <c r="AJ35" s="266">
        <f t="shared" si="8"/>
        <v>-7.0999999999999994E-2</v>
      </c>
      <c r="AK35" s="1846"/>
      <c r="AL35" s="1824"/>
      <c r="AM35" s="1847"/>
    </row>
    <row r="36" spans="1:39" ht="18" customHeight="1">
      <c r="A36" s="1324" t="s">
        <v>309</v>
      </c>
      <c r="B36" s="1324"/>
      <c r="C36" s="1324"/>
      <c r="D36" s="253">
        <f>'Exhibit F'!H36</f>
        <v>0</v>
      </c>
      <c r="E36" s="1848"/>
      <c r="F36" s="253">
        <f>'Exhibit F'!AC36</f>
        <v>0</v>
      </c>
      <c r="G36" s="253"/>
      <c r="H36" s="253">
        <f>'Exhibit G'!H28</f>
        <v>4.6000000000000005</v>
      </c>
      <c r="I36" s="1848"/>
      <c r="J36" s="253">
        <f>'Exhibit G'!AE28</f>
        <v>4.9000000000000004</v>
      </c>
      <c r="K36" s="253"/>
      <c r="L36" s="255">
        <v>0</v>
      </c>
      <c r="M36" s="1848"/>
      <c r="N36" s="255">
        <v>0</v>
      </c>
      <c r="O36" s="253"/>
      <c r="P36" s="253">
        <v>0</v>
      </c>
      <c r="Q36" s="1848"/>
      <c r="R36" s="253">
        <v>0</v>
      </c>
      <c r="S36" s="253"/>
      <c r="T36" s="2017"/>
      <c r="U36" s="2017"/>
      <c r="V36" s="1848">
        <f>SUM(D36)+SUM(H36)+SUM(L36)+SUM(P36)</f>
        <v>4.6000000000000005</v>
      </c>
      <c r="W36" s="253"/>
      <c r="X36" s="1848">
        <f>SUM(F36)+SUM(J36)+SUM(N36)+SUM(R36)</f>
        <v>4.9000000000000004</v>
      </c>
      <c r="Y36" s="1849"/>
      <c r="Z36" s="1850"/>
      <c r="AA36" s="253"/>
      <c r="AB36" s="512">
        <v>4.8</v>
      </c>
      <c r="AC36" s="253"/>
      <c r="AD36" s="1848">
        <f>'Cashflow Governmental'!AE40</f>
        <v>5</v>
      </c>
      <c r="AE36" s="512"/>
      <c r="AF36" s="1919"/>
      <c r="AG36" s="1849"/>
      <c r="AH36" s="255">
        <f>ROUND(SUM(X36)-SUM(AD36),1)</f>
        <v>-0.1</v>
      </c>
      <c r="AI36" s="1311"/>
      <c r="AJ36" s="266">
        <f>ROUND(IF(AD36=0,1,AH36/(AD36)),3)</f>
        <v>-0.02</v>
      </c>
      <c r="AK36" s="1846"/>
      <c r="AL36" s="1824"/>
      <c r="AM36" s="1847"/>
    </row>
    <row r="37" spans="1:39" ht="18" customHeight="1">
      <c r="A37" s="1324" t="s">
        <v>310</v>
      </c>
      <c r="B37" s="1324"/>
      <c r="C37" s="1324"/>
      <c r="D37" s="253">
        <f>'Exhibit F'!H37</f>
        <v>0</v>
      </c>
      <c r="E37" s="1848"/>
      <c r="F37" s="253">
        <f>'Exhibit F'!AC37</f>
        <v>4.5999999999999996</v>
      </c>
      <c r="G37" s="253"/>
      <c r="H37" s="253">
        <v>0</v>
      </c>
      <c r="I37" s="1848"/>
      <c r="J37" s="253">
        <v>0</v>
      </c>
      <c r="K37" s="253"/>
      <c r="L37" s="255">
        <v>0</v>
      </c>
      <c r="M37" s="1848"/>
      <c r="N37" s="255">
        <v>0</v>
      </c>
      <c r="O37" s="253"/>
      <c r="P37" s="253">
        <v>0</v>
      </c>
      <c r="Q37" s="1848"/>
      <c r="R37" s="253">
        <v>0</v>
      </c>
      <c r="S37" s="253"/>
      <c r="T37" s="2017"/>
      <c r="U37" s="2017"/>
      <c r="V37" s="1848">
        <f>SUM(D37)+SUM(H37)+SUM(L37)+SUM(P37)</f>
        <v>0</v>
      </c>
      <c r="W37" s="253"/>
      <c r="X37" s="1848">
        <f t="shared" ref="X37" si="9">SUM(F37)+SUM(J37)+SUM(N37)+SUM(R37)</f>
        <v>4.5999999999999996</v>
      </c>
      <c r="Y37" s="1849"/>
      <c r="Z37" s="1850"/>
      <c r="AA37" s="253"/>
      <c r="AB37" s="512">
        <v>0.1</v>
      </c>
      <c r="AC37" s="253"/>
      <c r="AD37" s="1848">
        <f>'Cashflow Governmental'!AE41</f>
        <v>4.9000000000000004</v>
      </c>
      <c r="AE37" s="512"/>
      <c r="AF37" s="1919"/>
      <c r="AG37" s="1849"/>
      <c r="AH37" s="255">
        <f t="shared" ref="AH37" si="10">ROUND(SUM(X37)-SUM(AD37),1)</f>
        <v>-0.3</v>
      </c>
      <c r="AI37" s="1311"/>
      <c r="AJ37" s="266">
        <f>ROUND(IF(AD37=0,1,AH37/(AD37)),3)</f>
        <v>-6.0999999999999999E-2</v>
      </c>
      <c r="AK37" s="1846"/>
      <c r="AL37" s="1824"/>
      <c r="AM37" s="1847"/>
    </row>
    <row r="38" spans="1:39" ht="18" customHeight="1">
      <c r="A38" s="1323" t="s">
        <v>311</v>
      </c>
      <c r="B38" s="1324"/>
      <c r="C38" s="1324"/>
      <c r="D38" s="1010">
        <f>ROUND(SUM(D28:D37),1)</f>
        <v>1063.7</v>
      </c>
      <c r="E38" s="1"/>
      <c r="F38" s="1010">
        <f>ROUND(SUM(F28:F37),1)</f>
        <v>2767.1</v>
      </c>
      <c r="G38" s="1"/>
      <c r="H38" s="1010">
        <f>ROUND(SUM(H28:H37),1)</f>
        <v>267.3</v>
      </c>
      <c r="I38" s="1"/>
      <c r="J38" s="1010">
        <f>ROUND(SUM(J28:J37),1)</f>
        <v>650.4</v>
      </c>
      <c r="K38" s="1"/>
      <c r="L38" s="1010">
        <f>ROUND(SUM(L28:L37),1)</f>
        <v>1017.5</v>
      </c>
      <c r="M38" s="1"/>
      <c r="N38" s="1010">
        <f>ROUND(SUM(N28:N37),1)</f>
        <v>2632.1</v>
      </c>
      <c r="O38" s="1"/>
      <c r="P38" s="1010">
        <f>ROUND(SUM(P28:P37),1)</f>
        <v>67.2</v>
      </c>
      <c r="Q38" s="1"/>
      <c r="R38" s="1010">
        <f>ROUND(SUM(R28:R37),1)</f>
        <v>150.30000000000001</v>
      </c>
      <c r="S38" s="1"/>
      <c r="T38" s="2019"/>
      <c r="U38" s="2019"/>
      <c r="V38" s="1010">
        <f>ROUND(SUM(V28:V37),1)</f>
        <v>2415.6999999999998</v>
      </c>
      <c r="W38" s="1"/>
      <c r="X38" s="1010">
        <f>ROUND(SUM(X28:X37),1)</f>
        <v>6199.9</v>
      </c>
      <c r="Y38" s="1867"/>
      <c r="Z38" s="1855"/>
      <c r="AA38" s="1"/>
      <c r="AB38" s="1010">
        <f>ROUND(SUM(AB28:AB37),1)</f>
        <v>2219.6</v>
      </c>
      <c r="AC38" s="1"/>
      <c r="AD38" s="1010">
        <f>ROUND(SUM(AD28:AD37),1)</f>
        <v>5767.5</v>
      </c>
      <c r="AE38" s="1"/>
      <c r="AF38" s="1920"/>
      <c r="AG38" s="1"/>
      <c r="AH38" s="1864">
        <f t="shared" si="4"/>
        <v>432.4</v>
      </c>
      <c r="AI38" s="1306"/>
      <c r="AJ38" s="1865">
        <f t="shared" si="5"/>
        <v>7.4999999999999997E-2</v>
      </c>
      <c r="AK38" s="1858"/>
      <c r="AL38" s="1859"/>
      <c r="AM38" s="1847"/>
    </row>
    <row r="39" spans="1:39" ht="18" customHeight="1">
      <c r="A39" s="1324"/>
      <c r="B39" s="1324"/>
      <c r="C39" s="1324"/>
      <c r="D39" s="1338"/>
      <c r="E39" s="253"/>
      <c r="F39" s="1338"/>
      <c r="G39" s="253"/>
      <c r="H39" s="1338"/>
      <c r="I39" s="253"/>
      <c r="J39" s="1338"/>
      <c r="K39" s="253"/>
      <c r="L39" s="1338"/>
      <c r="M39" s="253"/>
      <c r="N39" s="1338"/>
      <c r="O39" s="253"/>
      <c r="P39" s="1338"/>
      <c r="Q39" s="253"/>
      <c r="R39" s="1338"/>
      <c r="S39" s="253"/>
      <c r="T39" s="2017"/>
      <c r="U39" s="2017"/>
      <c r="V39" s="1338"/>
      <c r="W39" s="253"/>
      <c r="X39" s="1338"/>
      <c r="Y39" s="253"/>
      <c r="Z39" s="1850"/>
      <c r="AA39" s="253"/>
      <c r="AB39" s="1338"/>
      <c r="AC39" s="253"/>
      <c r="AD39" s="1338"/>
      <c r="AE39" s="253"/>
      <c r="AF39" s="1919"/>
      <c r="AG39" s="253"/>
      <c r="AH39" s="253"/>
      <c r="AI39" s="1305"/>
      <c r="AJ39" s="1866"/>
      <c r="AK39" s="1861"/>
      <c r="AL39" s="1824"/>
      <c r="AM39" s="1847"/>
    </row>
    <row r="40" spans="1:39" ht="18" customHeight="1">
      <c r="A40" s="1323" t="s">
        <v>312</v>
      </c>
      <c r="B40" s="1324"/>
      <c r="C40" s="1324"/>
      <c r="D40" s="253"/>
      <c r="E40" s="253"/>
      <c r="F40" s="253"/>
      <c r="G40" s="253"/>
      <c r="H40" s="253"/>
      <c r="I40" s="253"/>
      <c r="J40" s="253"/>
      <c r="K40" s="253"/>
      <c r="L40" s="253"/>
      <c r="M40" s="253"/>
      <c r="N40" s="253"/>
      <c r="O40" s="253"/>
      <c r="P40" s="253"/>
      <c r="Q40" s="253"/>
      <c r="R40" s="253"/>
      <c r="S40" s="253"/>
      <c r="T40" s="2017"/>
      <c r="U40" s="2017"/>
      <c r="V40" s="253"/>
      <c r="W40" s="253"/>
      <c r="X40" s="253"/>
      <c r="Y40" s="253"/>
      <c r="Z40" s="1850"/>
      <c r="AA40" s="253"/>
      <c r="AB40" s="531"/>
      <c r="AC40" s="253"/>
      <c r="AD40" s="531"/>
      <c r="AE40" s="253"/>
      <c r="AF40" s="1919"/>
      <c r="AG40" s="253"/>
      <c r="AH40" s="253"/>
      <c r="AI40" s="1305"/>
      <c r="AJ40" s="1846"/>
      <c r="AK40" s="1861"/>
      <c r="AL40" s="1824"/>
      <c r="AM40" s="1847"/>
    </row>
    <row r="41" spans="1:39" ht="18" customHeight="1">
      <c r="A41" s="1324" t="s">
        <v>313</v>
      </c>
      <c r="B41" s="1324"/>
      <c r="C41" s="1324"/>
      <c r="D41" s="253">
        <f>'Exhibit F'!H40</f>
        <v>1844.6000000000004</v>
      </c>
      <c r="E41" s="253"/>
      <c r="F41" s="253">
        <f>'Exhibit F'!AC40</f>
        <v>2673.3</v>
      </c>
      <c r="G41" s="253"/>
      <c r="H41" s="253">
        <f>'Exhibit G'!H31</f>
        <v>457.09999999999997</v>
      </c>
      <c r="I41" s="253"/>
      <c r="J41" s="253">
        <f>'Exhibit G'!AE31</f>
        <v>853.1</v>
      </c>
      <c r="K41" s="253"/>
      <c r="L41" s="255">
        <v>0</v>
      </c>
      <c r="M41" s="1848"/>
      <c r="N41" s="255">
        <v>0</v>
      </c>
      <c r="O41" s="253"/>
      <c r="P41" s="255">
        <f>'Exhibit I'!I23</f>
        <v>0</v>
      </c>
      <c r="Q41" s="1848"/>
      <c r="R41" s="255">
        <f>'Exhibit I'!AF23</f>
        <v>0</v>
      </c>
      <c r="S41" s="253"/>
      <c r="T41" s="2017"/>
      <c r="U41" s="2017"/>
      <c r="V41" s="1848">
        <f t="shared" ref="V41:V46" si="11">SUM(D41)+SUM(H41)+SUM(L41)+SUM(P41)</f>
        <v>2301.7000000000003</v>
      </c>
      <c r="W41" s="253"/>
      <c r="X41" s="1848">
        <f t="shared" ref="X41:X46" si="12">SUM(F41)+SUM(J41)+SUM(N41)+SUM(R41)</f>
        <v>3526.4</v>
      </c>
      <c r="Y41" s="253"/>
      <c r="Z41" s="1850"/>
      <c r="AA41" s="253"/>
      <c r="AB41" s="512">
        <v>1471.7</v>
      </c>
      <c r="AC41" s="253"/>
      <c r="AD41" s="512">
        <f>'Cashflow Governmental'!AE44</f>
        <v>2617.5</v>
      </c>
      <c r="AE41" s="1848"/>
      <c r="AF41" s="1919"/>
      <c r="AG41" s="253"/>
      <c r="AH41" s="1848">
        <f t="shared" ref="AH41:AH47" si="13">ROUND(SUM(X41)-SUM(AD41),1)</f>
        <v>908.9</v>
      </c>
      <c r="AI41" s="1310"/>
      <c r="AJ41" s="1846">
        <f t="shared" ref="AJ41:AJ47" si="14">ROUND(AH41/AD41,3)</f>
        <v>0.34699999999999998</v>
      </c>
      <c r="AK41" s="1846"/>
      <c r="AL41" s="1824"/>
      <c r="AM41" s="1847"/>
    </row>
    <row r="42" spans="1:39" ht="18" customHeight="1">
      <c r="A42" s="1324" t="s">
        <v>314</v>
      </c>
      <c r="B42" s="1324"/>
      <c r="C42" s="1324"/>
      <c r="D42" s="253">
        <f>'Exhibit F'!H41</f>
        <v>102.90000000000002</v>
      </c>
      <c r="E42" s="253"/>
      <c r="F42" s="253">
        <f>'Exhibit F'!AC41</f>
        <v>130.20000000000002</v>
      </c>
      <c r="G42" s="253"/>
      <c r="H42" s="253">
        <f>'Exhibit G'!H32</f>
        <v>21.5</v>
      </c>
      <c r="I42" s="253"/>
      <c r="J42" s="1848">
        <f>'Exhibit G'!AE32</f>
        <v>38</v>
      </c>
      <c r="K42" s="253"/>
      <c r="L42" s="255">
        <v>0</v>
      </c>
      <c r="M42" s="1848"/>
      <c r="N42" s="255">
        <v>0</v>
      </c>
      <c r="O42" s="253"/>
      <c r="P42" s="253">
        <f>'Exhibit I'!I24</f>
        <v>0.90000000000000036</v>
      </c>
      <c r="Q42" s="1848"/>
      <c r="R42" s="253">
        <f>'Exhibit I'!AF24</f>
        <v>2.8</v>
      </c>
      <c r="S42" s="253"/>
      <c r="T42" s="2017"/>
      <c r="U42" s="2017"/>
      <c r="V42" s="1848">
        <f t="shared" si="11"/>
        <v>125.30000000000003</v>
      </c>
      <c r="W42" s="253"/>
      <c r="X42" s="1848">
        <f t="shared" si="12"/>
        <v>171.00000000000003</v>
      </c>
      <c r="Y42" s="253"/>
      <c r="Z42" s="1850"/>
      <c r="AA42" s="253"/>
      <c r="AB42" s="512">
        <v>93</v>
      </c>
      <c r="AC42" s="253"/>
      <c r="AD42" s="512">
        <f>'Cashflow Governmental'!AE45</f>
        <v>133.70000000000002</v>
      </c>
      <c r="AE42" s="1848"/>
      <c r="AF42" s="1919"/>
      <c r="AG42" s="253"/>
      <c r="AH42" s="1848">
        <f t="shared" si="13"/>
        <v>37.299999999999997</v>
      </c>
      <c r="AI42" s="1310"/>
      <c r="AJ42" s="1868">
        <f t="shared" si="14"/>
        <v>0.27900000000000003</v>
      </c>
      <c r="AK42" s="1846"/>
      <c r="AL42" s="1824"/>
      <c r="AM42" s="1847"/>
    </row>
    <row r="43" spans="1:39" ht="18" customHeight="1">
      <c r="A43" s="1324" t="s">
        <v>315</v>
      </c>
      <c r="B43" s="1324"/>
      <c r="C43" s="1324"/>
      <c r="D43" s="253">
        <f>'Exhibit F'!H42</f>
        <v>410.3</v>
      </c>
      <c r="E43" s="253"/>
      <c r="F43" s="253">
        <f>'Exhibit F'!AC42</f>
        <v>529.6</v>
      </c>
      <c r="G43" s="253"/>
      <c r="H43" s="253">
        <f>'Exhibit G'!H33</f>
        <v>52.300000000000004</v>
      </c>
      <c r="I43" s="253"/>
      <c r="J43" s="253">
        <f>'Exhibit G'!AE33</f>
        <v>56.7</v>
      </c>
      <c r="K43" s="253"/>
      <c r="L43" s="255">
        <v>0</v>
      </c>
      <c r="M43" s="1848"/>
      <c r="N43" s="255">
        <v>0</v>
      </c>
      <c r="O43" s="253"/>
      <c r="P43" s="255">
        <v>0</v>
      </c>
      <c r="Q43" s="1848"/>
      <c r="R43" s="255">
        <v>0</v>
      </c>
      <c r="S43" s="253"/>
      <c r="T43" s="2017"/>
      <c r="U43" s="2017"/>
      <c r="V43" s="1848">
        <f t="shared" si="11"/>
        <v>462.6</v>
      </c>
      <c r="W43" s="253"/>
      <c r="X43" s="1848">
        <f t="shared" si="12"/>
        <v>586.30000000000007</v>
      </c>
      <c r="Y43" s="253"/>
      <c r="Z43" s="1850"/>
      <c r="AA43" s="253"/>
      <c r="AB43" s="512">
        <v>476.5</v>
      </c>
      <c r="AC43" s="253"/>
      <c r="AD43" s="512">
        <f>'Cashflow Governmental'!AE46</f>
        <v>573.40000000000009</v>
      </c>
      <c r="AE43" s="1848"/>
      <c r="AF43" s="1919"/>
      <c r="AG43" s="253"/>
      <c r="AH43" s="1848">
        <f t="shared" si="13"/>
        <v>12.9</v>
      </c>
      <c r="AI43" s="1310"/>
      <c r="AJ43" s="1846">
        <f>ROUND(AH43/AD43,3)</f>
        <v>2.1999999999999999E-2</v>
      </c>
      <c r="AK43" s="1846"/>
      <c r="AL43" s="1824"/>
      <c r="AM43" s="1847"/>
    </row>
    <row r="44" spans="1:39" ht="18" customHeight="1">
      <c r="A44" s="1324" t="s">
        <v>316</v>
      </c>
      <c r="B44" s="1324"/>
      <c r="C44" s="1324"/>
      <c r="D44" s="253">
        <f>'Exhibit F'!H43</f>
        <v>0</v>
      </c>
      <c r="E44" s="253"/>
      <c r="F44" s="253">
        <f>'Exhibit F'!AC43</f>
        <v>22.7</v>
      </c>
      <c r="G44" s="253"/>
      <c r="H44" s="253">
        <f>'Exhibit G'!H34</f>
        <v>0</v>
      </c>
      <c r="I44" s="253"/>
      <c r="J44" s="253">
        <f>'Exhibit G'!AE34</f>
        <v>-0.8</v>
      </c>
      <c r="K44" s="253"/>
      <c r="L44" s="255">
        <v>0</v>
      </c>
      <c r="M44" s="1848"/>
      <c r="N44" s="255">
        <v>0</v>
      </c>
      <c r="O44" s="253"/>
      <c r="P44" s="255">
        <v>0</v>
      </c>
      <c r="Q44" s="1848"/>
      <c r="R44" s="255">
        <v>0</v>
      </c>
      <c r="S44" s="253"/>
      <c r="T44" s="2017"/>
      <c r="U44" s="2017"/>
      <c r="V44" s="1848">
        <f>ROUND(SUM(D44)+SUM(H44)+SUM(L44)+SUM(P44),1)</f>
        <v>0</v>
      </c>
      <c r="W44" s="253"/>
      <c r="X44" s="1848">
        <f t="shared" si="12"/>
        <v>21.9</v>
      </c>
      <c r="Y44" s="253"/>
      <c r="Z44" s="1850"/>
      <c r="AA44" s="253"/>
      <c r="AB44" s="512">
        <v>0.1</v>
      </c>
      <c r="AC44" s="253"/>
      <c r="AD44" s="512">
        <f>'Cashflow Governmental'!AE47</f>
        <v>-4.5999999999999996</v>
      </c>
      <c r="AE44" s="1848"/>
      <c r="AF44" s="1919"/>
      <c r="AG44" s="253"/>
      <c r="AH44" s="1848">
        <f>ROUND(SUM(X44)-SUM(AD44),1)</f>
        <v>26.5</v>
      </c>
      <c r="AI44" s="1310"/>
      <c r="AJ44" s="1981">
        <f>ROUND(IF(AD44=0,1,AH44/ABS(AD44)),3)</f>
        <v>5.7610000000000001</v>
      </c>
      <c r="AK44" s="1846"/>
      <c r="AL44" s="1824"/>
      <c r="AM44" s="1847"/>
    </row>
    <row r="45" spans="1:39" ht="18" customHeight="1">
      <c r="A45" s="1324" t="s">
        <v>317</v>
      </c>
      <c r="B45" s="1324"/>
      <c r="C45" s="1324"/>
      <c r="D45" s="253">
        <f>'Exhibit F'!H44</f>
        <v>2293</v>
      </c>
      <c r="E45" s="253"/>
      <c r="F45" s="253">
        <f>'Exhibit F'!AC44</f>
        <v>2435.5</v>
      </c>
      <c r="G45" s="253"/>
      <c r="H45" s="253">
        <v>0</v>
      </c>
      <c r="I45" s="253"/>
      <c r="J45" s="253">
        <v>0</v>
      </c>
      <c r="K45" s="253"/>
      <c r="L45" s="255">
        <f>'Exhibit H'!F23</f>
        <v>2292.9</v>
      </c>
      <c r="M45" s="1848"/>
      <c r="N45" s="255">
        <f>'Exhibit H'!AA23</f>
        <v>2435.4</v>
      </c>
      <c r="O45" s="253"/>
      <c r="P45" s="255">
        <v>0</v>
      </c>
      <c r="Q45" s="1848"/>
      <c r="R45" s="255">
        <v>0</v>
      </c>
      <c r="S45" s="253"/>
      <c r="T45" s="2017"/>
      <c r="U45" s="2017"/>
      <c r="V45" s="1848">
        <f t="shared" si="11"/>
        <v>4585.8999999999996</v>
      </c>
      <c r="W45" s="253"/>
      <c r="X45" s="1848">
        <f t="shared" si="12"/>
        <v>4870.8999999999996</v>
      </c>
      <c r="Y45" s="253"/>
      <c r="Z45" s="1850"/>
      <c r="AA45" s="253"/>
      <c r="AB45" s="512">
        <v>3682.2000000000003</v>
      </c>
      <c r="AC45" s="253"/>
      <c r="AD45" s="512">
        <f>'Cashflow Governmental'!AE48</f>
        <v>3938.8</v>
      </c>
      <c r="AE45" s="1848"/>
      <c r="AF45" s="1919"/>
      <c r="AG45" s="253"/>
      <c r="AH45" s="1848">
        <f>ROUND(SUM(X45)-SUM(AD45),1)</f>
        <v>932.1</v>
      </c>
      <c r="AI45" s="1310"/>
      <c r="AJ45" s="266">
        <f>ROUND(IF(AD45=0,1,AH45/(AD45)),3)</f>
        <v>0.23699999999999999</v>
      </c>
      <c r="AK45" s="1846"/>
      <c r="AL45" s="1824"/>
      <c r="AM45" s="1847"/>
    </row>
    <row r="46" spans="1:39" ht="18" customHeight="1">
      <c r="A46" s="1324" t="s">
        <v>318</v>
      </c>
      <c r="B46" s="1324"/>
      <c r="C46" s="1324"/>
      <c r="D46" s="253">
        <f>'Exhibit F'!H45</f>
        <v>0</v>
      </c>
      <c r="E46" s="1848"/>
      <c r="F46" s="253">
        <f>'Exhibit F'!AC45</f>
        <v>0</v>
      </c>
      <c r="G46" s="253"/>
      <c r="H46" s="253">
        <f>'Exhibit G'!H35</f>
        <v>39.100000000000009</v>
      </c>
      <c r="I46" s="1848"/>
      <c r="J46" s="253">
        <f>'Exhibit G'!AE35</f>
        <v>106.2</v>
      </c>
      <c r="K46" s="253"/>
      <c r="L46" s="255">
        <v>0</v>
      </c>
      <c r="M46" s="1848"/>
      <c r="N46" s="255">
        <v>0</v>
      </c>
      <c r="O46" s="253"/>
      <c r="P46" s="253">
        <f>'Exhibit I'!I25</f>
        <v>50.199999999999996</v>
      </c>
      <c r="Q46" s="1848"/>
      <c r="R46" s="253">
        <f>'Exhibit I'!AF25</f>
        <v>136.1</v>
      </c>
      <c r="S46" s="253"/>
      <c r="T46" s="2017"/>
      <c r="U46" s="2017"/>
      <c r="V46" s="1848">
        <f t="shared" si="11"/>
        <v>89.300000000000011</v>
      </c>
      <c r="W46" s="253"/>
      <c r="X46" s="1848">
        <f t="shared" si="12"/>
        <v>242.3</v>
      </c>
      <c r="Y46" s="253"/>
      <c r="Z46" s="1850"/>
      <c r="AA46" s="253"/>
      <c r="AB46" s="512">
        <v>89.3</v>
      </c>
      <c r="AC46" s="253"/>
      <c r="AD46" s="512">
        <f>'Cashflow Governmental'!AE49</f>
        <v>256.39999999999998</v>
      </c>
      <c r="AE46" s="1848"/>
      <c r="AF46" s="1919"/>
      <c r="AG46" s="253"/>
      <c r="AH46" s="1848">
        <f t="shared" si="13"/>
        <v>-14.1</v>
      </c>
      <c r="AI46" s="1311"/>
      <c r="AJ46" s="1846">
        <f t="shared" si="14"/>
        <v>-5.5E-2</v>
      </c>
      <c r="AK46" s="1846"/>
      <c r="AL46" s="1824"/>
      <c r="AM46" s="1847"/>
    </row>
    <row r="47" spans="1:39" ht="18" customHeight="1">
      <c r="A47" s="1323" t="s">
        <v>311</v>
      </c>
      <c r="B47" s="1324"/>
      <c r="C47" s="1324"/>
      <c r="D47" s="1010">
        <f>ROUND(SUM(D41:D46),1)</f>
        <v>4650.8</v>
      </c>
      <c r="E47" s="1"/>
      <c r="F47" s="1010">
        <f>ROUND(SUM(F41:F46),1)</f>
        <v>5791.3</v>
      </c>
      <c r="G47" s="1"/>
      <c r="H47" s="1010">
        <f>ROUND(SUM(H41:H46),1)</f>
        <v>570</v>
      </c>
      <c r="I47" s="1"/>
      <c r="J47" s="1010">
        <f>ROUND(SUM(J41:J46),1)</f>
        <v>1053.2</v>
      </c>
      <c r="K47" s="1"/>
      <c r="L47" s="2036">
        <f>ROUND(SUM(L41:L46),1)</f>
        <v>2292.9</v>
      </c>
      <c r="M47" s="1852"/>
      <c r="N47" s="2036">
        <f>ROUND(SUM(N41:N46),1)</f>
        <v>2435.4</v>
      </c>
      <c r="O47" s="1"/>
      <c r="P47" s="1010">
        <f>ROUND(SUM(P41:P46),1)</f>
        <v>51.1</v>
      </c>
      <c r="Q47" s="1"/>
      <c r="R47" s="1010">
        <f>ROUND(SUM(R41:R46),1)</f>
        <v>138.9</v>
      </c>
      <c r="S47" s="1"/>
      <c r="T47" s="2019"/>
      <c r="U47" s="2019"/>
      <c r="V47" s="1010">
        <f>ROUND(SUM(V41:V46),1)</f>
        <v>7564.8</v>
      </c>
      <c r="W47" s="1"/>
      <c r="X47" s="1010">
        <f>ROUND(SUM(X41:X46),1)</f>
        <v>9418.7999999999993</v>
      </c>
      <c r="Y47" s="1867"/>
      <c r="Z47" s="1855"/>
      <c r="AA47" s="1"/>
      <c r="AB47" s="1010">
        <f>ROUND(SUM(AB41:AB46),1)</f>
        <v>5812.8</v>
      </c>
      <c r="AC47" s="1"/>
      <c r="AD47" s="1010">
        <f>ROUND(SUM(AD41:AD46),1)</f>
        <v>7515.2</v>
      </c>
      <c r="AE47" s="1"/>
      <c r="AF47" s="1920"/>
      <c r="AG47" s="1"/>
      <c r="AH47" s="1869">
        <f t="shared" si="13"/>
        <v>1903.6</v>
      </c>
      <c r="AI47" s="1306"/>
      <c r="AJ47" s="1865">
        <f t="shared" si="14"/>
        <v>0.253</v>
      </c>
      <c r="AK47" s="1858"/>
      <c r="AL47" s="1859"/>
      <c r="AM47" s="1847"/>
    </row>
    <row r="48" spans="1:39" ht="18" customHeight="1">
      <c r="A48" s="1324"/>
      <c r="B48" s="1324"/>
      <c r="C48" s="1324"/>
      <c r="D48" s="1338"/>
      <c r="E48" s="253"/>
      <c r="F48" s="1338"/>
      <c r="G48" s="253"/>
      <c r="H48" s="1338"/>
      <c r="I48" s="253"/>
      <c r="J48" s="1338" t="s">
        <v>103</v>
      </c>
      <c r="K48" s="253"/>
      <c r="L48" s="1338"/>
      <c r="M48" s="253"/>
      <c r="N48" s="1338"/>
      <c r="O48" s="253"/>
      <c r="P48" s="1338"/>
      <c r="Q48" s="253"/>
      <c r="R48" s="1338"/>
      <c r="S48" s="253"/>
      <c r="T48" s="2017"/>
      <c r="U48" s="2017"/>
      <c r="V48" s="1338"/>
      <c r="W48" s="253"/>
      <c r="X48" s="1338" t="s">
        <v>103</v>
      </c>
      <c r="Y48" s="253"/>
      <c r="Z48" s="1850"/>
      <c r="AA48" s="253"/>
      <c r="AB48" s="1338"/>
      <c r="AC48" s="253"/>
      <c r="AD48" s="1338"/>
      <c r="AE48" s="253"/>
      <c r="AF48" s="1919"/>
      <c r="AG48" s="253"/>
      <c r="AH48" s="253"/>
      <c r="AI48" s="1305"/>
      <c r="AJ48" s="1866"/>
      <c r="AK48" s="1861"/>
      <c r="AL48" s="1824"/>
      <c r="AM48" s="1847"/>
    </row>
    <row r="49" spans="1:39" ht="18" customHeight="1">
      <c r="A49" s="1327" t="s">
        <v>319</v>
      </c>
      <c r="B49" s="1324"/>
      <c r="C49" s="1324"/>
      <c r="D49" s="253"/>
      <c r="E49" s="253"/>
      <c r="F49" s="253"/>
      <c r="G49" s="253"/>
      <c r="H49" s="253" t="s">
        <v>103</v>
      </c>
      <c r="I49" s="253"/>
      <c r="J49" s="253"/>
      <c r="K49" s="253"/>
      <c r="L49" s="253"/>
      <c r="M49" s="253"/>
      <c r="N49" s="253"/>
      <c r="O49" s="253"/>
      <c r="P49" s="253"/>
      <c r="Q49" s="253"/>
      <c r="R49" s="253"/>
      <c r="S49" s="253"/>
      <c r="T49" s="2017"/>
      <c r="U49" s="2017"/>
      <c r="V49" s="253"/>
      <c r="W49" s="253"/>
      <c r="X49" s="253"/>
      <c r="Y49" s="253"/>
      <c r="Z49" s="1850"/>
      <c r="AA49" s="253"/>
      <c r="AB49" s="253"/>
      <c r="AC49" s="253"/>
      <c r="AD49" s="253"/>
      <c r="AE49" s="253"/>
      <c r="AF49" s="1919"/>
      <c r="AG49" s="253"/>
      <c r="AH49" s="253"/>
      <c r="AI49" s="1305"/>
      <c r="AJ49" s="1846"/>
      <c r="AK49" s="1861"/>
      <c r="AL49" s="1824"/>
      <c r="AM49" s="1847"/>
    </row>
    <row r="50" spans="1:39" ht="18" customHeight="1">
      <c r="A50" s="1324" t="s">
        <v>320</v>
      </c>
      <c r="B50" s="1324"/>
      <c r="C50" s="1324"/>
      <c r="D50" s="255">
        <f>'Exhibit F'!H48</f>
        <v>0</v>
      </c>
      <c r="E50" s="253"/>
      <c r="F50" s="253">
        <f>'Exhibit F'!AC48</f>
        <v>0</v>
      </c>
      <c r="G50" s="253"/>
      <c r="H50" s="255">
        <v>0</v>
      </c>
      <c r="I50" s="1848"/>
      <c r="J50" s="255">
        <v>0</v>
      </c>
      <c r="K50" s="253"/>
      <c r="L50" s="255">
        <v>0</v>
      </c>
      <c r="M50" s="255"/>
      <c r="N50" s="255">
        <v>0</v>
      </c>
      <c r="O50" s="253"/>
      <c r="P50" s="255">
        <v>0</v>
      </c>
      <c r="Q50" s="1848"/>
      <c r="R50" s="255">
        <v>0</v>
      </c>
      <c r="S50" s="253"/>
      <c r="T50" s="2017"/>
      <c r="U50" s="2017"/>
      <c r="V50" s="255">
        <f t="shared" ref="V50:V54" si="15">SUM(D50)+SUM(H50)+SUM(L50)+SUM(P50)</f>
        <v>0</v>
      </c>
      <c r="W50" s="253"/>
      <c r="X50" s="1848">
        <f t="shared" ref="X50:X54" si="16">SUM(F50)+SUM(J50)+SUM(N50)+SUM(R50)</f>
        <v>0</v>
      </c>
      <c r="Y50" s="1849"/>
      <c r="Z50" s="1850"/>
      <c r="AA50" s="253"/>
      <c r="AB50" s="512">
        <v>0</v>
      </c>
      <c r="AC50" s="253"/>
      <c r="AD50" s="512">
        <f>'Cashflow Governmental'!AE52</f>
        <v>0</v>
      </c>
      <c r="AE50" s="1848"/>
      <c r="AF50" s="1919"/>
      <c r="AG50" s="1849"/>
      <c r="AH50" s="1848">
        <f t="shared" ref="AH50:AH56" si="17">ROUND(SUM(X50)-SUM(AD50),1)</f>
        <v>0</v>
      </c>
      <c r="AI50" s="1310"/>
      <c r="AJ50" s="266">
        <f>ROUND(IF(AD50=0,0,-AH50/(AD50)),3)</f>
        <v>0</v>
      </c>
      <c r="AK50" s="1846"/>
      <c r="AL50" s="1824"/>
      <c r="AM50" s="1847"/>
    </row>
    <row r="51" spans="1:39" ht="18" customHeight="1">
      <c r="A51" s="1324" t="s">
        <v>321</v>
      </c>
      <c r="B51" s="1324"/>
      <c r="C51" s="1324"/>
      <c r="D51" s="255">
        <f>'Exhibit F'!H49</f>
        <v>94.599999999999966</v>
      </c>
      <c r="E51" s="253"/>
      <c r="F51" s="253">
        <f>'Exhibit F'!AC49</f>
        <v>373.5</v>
      </c>
      <c r="G51" s="253"/>
      <c r="H51" s="255">
        <v>0</v>
      </c>
      <c r="I51" s="1848"/>
      <c r="J51" s="255">
        <v>0</v>
      </c>
      <c r="K51" s="253"/>
      <c r="L51" s="255">
        <v>0</v>
      </c>
      <c r="M51" s="255"/>
      <c r="N51" s="255">
        <v>0</v>
      </c>
      <c r="O51" s="253"/>
      <c r="P51" s="255">
        <v>0</v>
      </c>
      <c r="Q51" s="1848"/>
      <c r="R51" s="255">
        <v>0</v>
      </c>
      <c r="S51" s="253"/>
      <c r="T51" s="2017"/>
      <c r="U51" s="2017"/>
      <c r="V51" s="1848">
        <f t="shared" si="15"/>
        <v>94.599999999999966</v>
      </c>
      <c r="W51" s="253"/>
      <c r="X51" s="1848">
        <f t="shared" si="16"/>
        <v>373.5</v>
      </c>
      <c r="Y51" s="1849"/>
      <c r="Z51" s="1850"/>
      <c r="AA51" s="253"/>
      <c r="AB51" s="512">
        <v>74.599999999999994</v>
      </c>
      <c r="AC51" s="253"/>
      <c r="AD51" s="512">
        <f>'Cashflow Governmental'!AE53</f>
        <v>395.3</v>
      </c>
      <c r="AE51" s="512"/>
      <c r="AF51" s="1919"/>
      <c r="AG51" s="1849"/>
      <c r="AH51" s="1848">
        <f t="shared" si="17"/>
        <v>-21.8</v>
      </c>
      <c r="AI51" s="1310"/>
      <c r="AJ51" s="1846">
        <f>ROUND(AH51/AD51,3)</f>
        <v>-5.5E-2</v>
      </c>
      <c r="AK51" s="1846"/>
      <c r="AL51" s="1824"/>
      <c r="AM51" s="1847"/>
    </row>
    <row r="52" spans="1:39" ht="18" customHeight="1">
      <c r="A52" s="1324" t="s">
        <v>322</v>
      </c>
      <c r="B52" s="1324"/>
      <c r="C52" s="1324"/>
      <c r="D52" s="255">
        <f>'Exhibit F'!H50</f>
        <v>1.2000000000000002</v>
      </c>
      <c r="E52" s="253"/>
      <c r="F52" s="253">
        <f>'Exhibit F'!AC50</f>
        <v>3</v>
      </c>
      <c r="G52" s="253"/>
      <c r="H52" s="255">
        <v>0</v>
      </c>
      <c r="I52" s="1848"/>
      <c r="J52" s="255">
        <v>0</v>
      </c>
      <c r="K52" s="253"/>
      <c r="L52" s="255">
        <v>0</v>
      </c>
      <c r="M52" s="255"/>
      <c r="N52" s="255">
        <v>0</v>
      </c>
      <c r="O52" s="253"/>
      <c r="P52" s="255">
        <v>0</v>
      </c>
      <c r="Q52" s="1848"/>
      <c r="R52" s="255">
        <v>0</v>
      </c>
      <c r="S52" s="253"/>
      <c r="T52" s="2017"/>
      <c r="U52" s="2017"/>
      <c r="V52" s="1848">
        <f t="shared" si="15"/>
        <v>1.2000000000000002</v>
      </c>
      <c r="W52" s="253"/>
      <c r="X52" s="1848">
        <f t="shared" si="16"/>
        <v>3</v>
      </c>
      <c r="Y52" s="1849"/>
      <c r="Z52" s="1850"/>
      <c r="AA52" s="253"/>
      <c r="AB52" s="512">
        <v>1.5</v>
      </c>
      <c r="AC52" s="253"/>
      <c r="AD52" s="512">
        <f>'Cashflow Governmental'!AE54</f>
        <v>3.6</v>
      </c>
      <c r="AE52" s="512"/>
      <c r="AF52" s="1919"/>
      <c r="AG52" s="1849"/>
      <c r="AH52" s="1848">
        <f t="shared" si="17"/>
        <v>-0.6</v>
      </c>
      <c r="AI52" s="1310"/>
      <c r="AJ52" s="1846">
        <f>ROUND(AH52/AD52,3)</f>
        <v>-0.16700000000000001</v>
      </c>
      <c r="AK52" s="1846"/>
      <c r="AL52" s="1824"/>
      <c r="AM52" s="1847"/>
    </row>
    <row r="53" spans="1:39" ht="18" customHeight="1">
      <c r="A53" s="1324" t="s">
        <v>323</v>
      </c>
      <c r="B53" s="1324"/>
      <c r="C53" s="1324"/>
      <c r="D53" s="255">
        <f>'Exhibit F'!H51</f>
        <v>0</v>
      </c>
      <c r="E53" s="1848"/>
      <c r="F53" s="253">
        <f>'Exhibit F'!AC51</f>
        <v>0</v>
      </c>
      <c r="G53" s="253"/>
      <c r="H53" s="255">
        <v>0</v>
      </c>
      <c r="I53" s="1848"/>
      <c r="J53" s="255">
        <v>0</v>
      </c>
      <c r="K53" s="253"/>
      <c r="L53" s="1848">
        <f>'Exhibit H'!F26</f>
        <v>98.099999999999966</v>
      </c>
      <c r="M53" s="1848"/>
      <c r="N53" s="1848">
        <f>'Exhibit H'!AA26</f>
        <v>321.39999999999998</v>
      </c>
      <c r="O53" s="253"/>
      <c r="P53" s="512">
        <f>'Exhibit I'!I28</f>
        <v>25.7</v>
      </c>
      <c r="Q53" s="1848"/>
      <c r="R53" s="512">
        <f>'Exhibit I'!AF28</f>
        <v>25.7</v>
      </c>
      <c r="S53" s="253"/>
      <c r="T53" s="2017"/>
      <c r="U53" s="2017"/>
      <c r="V53" s="1848">
        <f t="shared" si="15"/>
        <v>123.79999999999997</v>
      </c>
      <c r="W53" s="253"/>
      <c r="X53" s="1848">
        <f t="shared" si="16"/>
        <v>347.09999999999997</v>
      </c>
      <c r="Y53" s="1849"/>
      <c r="Z53" s="1850"/>
      <c r="AA53" s="253"/>
      <c r="AB53" s="512">
        <v>107.9</v>
      </c>
      <c r="AC53" s="253"/>
      <c r="AD53" s="512">
        <f>'Cashflow Governmental'!AE55</f>
        <v>316.5</v>
      </c>
      <c r="AE53" s="1848"/>
      <c r="AF53" s="1919"/>
      <c r="AG53" s="1849"/>
      <c r="AH53" s="1848">
        <f t="shared" si="17"/>
        <v>30.6</v>
      </c>
      <c r="AI53" s="1870"/>
      <c r="AJ53" s="1846">
        <f>ROUND(AH53/AD53,3)</f>
        <v>9.7000000000000003E-2</v>
      </c>
      <c r="AK53" s="1846"/>
      <c r="AL53" s="1824"/>
      <c r="AM53" s="1847"/>
    </row>
    <row r="54" spans="1:39" ht="18" customHeight="1">
      <c r="A54" s="1324" t="s">
        <v>324</v>
      </c>
      <c r="B54" s="1324"/>
      <c r="C54" s="1324"/>
      <c r="D54" s="255">
        <f>'Exhibit F'!H52</f>
        <v>0</v>
      </c>
      <c r="E54" s="253"/>
      <c r="F54" s="253">
        <f>'Exhibit F'!AC52</f>
        <v>0.1</v>
      </c>
      <c r="G54" s="253"/>
      <c r="H54" s="255">
        <v>0</v>
      </c>
      <c r="I54" s="1848"/>
      <c r="J54" s="255">
        <v>0</v>
      </c>
      <c r="K54" s="253"/>
      <c r="L54" s="255">
        <v>0</v>
      </c>
      <c r="M54" s="255"/>
      <c r="N54" s="255">
        <v>0</v>
      </c>
      <c r="O54" s="253"/>
      <c r="P54" s="255">
        <v>0</v>
      </c>
      <c r="Q54" s="1848"/>
      <c r="R54" s="255">
        <v>0</v>
      </c>
      <c r="S54" s="253"/>
      <c r="T54" s="2017"/>
      <c r="U54" s="2017"/>
      <c r="V54" s="1848">
        <f t="shared" si="15"/>
        <v>0</v>
      </c>
      <c r="W54" s="253"/>
      <c r="X54" s="1848">
        <f t="shared" si="16"/>
        <v>0.1</v>
      </c>
      <c r="Y54" s="1849"/>
      <c r="Z54" s="1850"/>
      <c r="AA54" s="253"/>
      <c r="AB54" s="512">
        <v>0</v>
      </c>
      <c r="AC54" s="253"/>
      <c r="AD54" s="512">
        <f>'Cashflow Governmental'!AE56</f>
        <v>0.1</v>
      </c>
      <c r="AE54" s="1848"/>
      <c r="AF54" s="1919"/>
      <c r="AG54" s="1849"/>
      <c r="AH54" s="1848">
        <f t="shared" si="17"/>
        <v>0</v>
      </c>
      <c r="AI54" s="1870"/>
      <c r="AJ54" s="266">
        <f>ROUND(IF(AD54=0,1,AH54/(AD54)),3)</f>
        <v>0</v>
      </c>
      <c r="AK54" s="1846"/>
      <c r="AL54" s="1824"/>
      <c r="AM54" s="1847"/>
    </row>
    <row r="55" spans="1:39" ht="18" customHeight="1">
      <c r="A55" s="420" t="s">
        <v>325</v>
      </c>
      <c r="B55" s="1324"/>
      <c r="C55" s="1324"/>
      <c r="D55" s="255">
        <f>'Exhibit F'!H53</f>
        <v>0.10000000000000003</v>
      </c>
      <c r="E55" s="253"/>
      <c r="F55" s="253">
        <f>'Exhibit F'!AC53</f>
        <v>0.30000000000000004</v>
      </c>
      <c r="G55" s="253"/>
      <c r="H55" s="253">
        <v>0</v>
      </c>
      <c r="I55" s="1848"/>
      <c r="J55" s="1848">
        <v>0</v>
      </c>
      <c r="K55" s="253"/>
      <c r="L55" s="255">
        <f>'Exhibit H'!F27</f>
        <v>0.20000000000000004</v>
      </c>
      <c r="M55" s="1848"/>
      <c r="N55" s="255">
        <f>'Exhibit H'!AA27</f>
        <v>0.4</v>
      </c>
      <c r="O55" s="253"/>
      <c r="P55" s="255">
        <v>0</v>
      </c>
      <c r="Q55" s="1848"/>
      <c r="R55" s="255">
        <v>0</v>
      </c>
      <c r="S55" s="253"/>
      <c r="T55" s="2017"/>
      <c r="U55" s="2017"/>
      <c r="V55" s="1848">
        <f t="shared" ref="V55" si="18">SUM(D55)+SUM(H55)+SUM(L55)+SUM(P55)</f>
        <v>0.30000000000000004</v>
      </c>
      <c r="W55" s="253"/>
      <c r="X55" s="1848">
        <f t="shared" ref="X55" si="19">SUM(F55)+SUM(J55)+SUM(N55)+SUM(R55)</f>
        <v>0.70000000000000007</v>
      </c>
      <c r="Y55" s="1849"/>
      <c r="Z55" s="1850"/>
      <c r="AA55" s="253"/>
      <c r="AB55" s="512">
        <v>0.4</v>
      </c>
      <c r="AC55" s="253"/>
      <c r="AD55" s="512">
        <f>'Cashflow Governmental'!AE57</f>
        <v>1</v>
      </c>
      <c r="AE55" s="1848"/>
      <c r="AF55" s="1919"/>
      <c r="AG55" s="1849"/>
      <c r="AH55" s="255">
        <f t="shared" ref="AH55" si="20">ROUND(SUM(X55)-SUM(AD55),1)</f>
        <v>-0.3</v>
      </c>
      <c r="AI55" s="1870"/>
      <c r="AJ55" s="266">
        <f>ROUND(IF(AD55=0,1,AH55/(AD55)),3)</f>
        <v>-0.3</v>
      </c>
      <c r="AK55" s="1846"/>
      <c r="AL55" s="1824"/>
      <c r="AM55" s="1847"/>
    </row>
    <row r="56" spans="1:39" ht="18" customHeight="1">
      <c r="A56" s="1323" t="s">
        <v>311</v>
      </c>
      <c r="B56" s="1324"/>
      <c r="C56" s="1324"/>
      <c r="D56" s="1010">
        <f>ROUND(SUM(D50:D55),1)</f>
        <v>95.9</v>
      </c>
      <c r="E56" s="1"/>
      <c r="F56" s="1010">
        <f>ROUND(SUM(F50:F55),1)</f>
        <v>376.9</v>
      </c>
      <c r="G56" s="1"/>
      <c r="H56" s="1853">
        <f>ROUND(SUM(H50:H55),1)</f>
        <v>0</v>
      </c>
      <c r="I56" s="1852"/>
      <c r="J56" s="1853">
        <f>ROUND(SUM(J50:J55),1)</f>
        <v>0</v>
      </c>
      <c r="K56" s="1"/>
      <c r="L56" s="1010">
        <f>ROUND(SUM(L50:L55),1)</f>
        <v>98.3</v>
      </c>
      <c r="M56" s="1"/>
      <c r="N56" s="1010">
        <f>ROUND(SUM(N50:N55),1)</f>
        <v>321.8</v>
      </c>
      <c r="O56" s="1" t="s">
        <v>103</v>
      </c>
      <c r="P56" s="1010">
        <f>ROUND(SUM(P50:P55),1)</f>
        <v>25.7</v>
      </c>
      <c r="Q56" s="1"/>
      <c r="R56" s="1010">
        <f>ROUND(SUM(R50:R55),1)</f>
        <v>25.7</v>
      </c>
      <c r="S56" s="1"/>
      <c r="T56" s="2019"/>
      <c r="U56" s="2019"/>
      <c r="V56" s="1853">
        <f>ROUND(SUM(V50:V55),1)</f>
        <v>219.9</v>
      </c>
      <c r="W56" s="1"/>
      <c r="X56" s="1853">
        <f>ROUND(SUM(X50:X55),1)</f>
        <v>724.4</v>
      </c>
      <c r="Y56" s="1863"/>
      <c r="Z56" s="1855"/>
      <c r="AA56" s="1"/>
      <c r="AB56" s="1853">
        <f>ROUND(SUM(AB50:AB55),1)</f>
        <v>184.4</v>
      </c>
      <c r="AC56" s="1"/>
      <c r="AD56" s="1853">
        <f>ROUND(SUM(AD50:AD55),1)</f>
        <v>716.5</v>
      </c>
      <c r="AE56" s="1852"/>
      <c r="AF56" s="1920"/>
      <c r="AG56" s="1854"/>
      <c r="AH56" s="1864">
        <f t="shared" si="17"/>
        <v>7.9</v>
      </c>
      <c r="AI56" s="1306"/>
      <c r="AJ56" s="1865">
        <f>ROUND(AH56/AD56,3)</f>
        <v>1.0999999999999999E-2</v>
      </c>
      <c r="AK56" s="1858"/>
      <c r="AL56" s="1859"/>
      <c r="AM56" s="1847"/>
    </row>
    <row r="57" spans="1:39" ht="18" customHeight="1">
      <c r="A57" s="1324"/>
      <c r="B57" s="1324"/>
      <c r="C57" s="1324"/>
      <c r="D57" s="1339"/>
      <c r="E57" s="1306"/>
      <c r="F57" s="1339"/>
      <c r="G57" s="285"/>
      <c r="H57" s="1339"/>
      <c r="I57" s="1306"/>
      <c r="J57" s="1339"/>
      <c r="K57" s="285"/>
      <c r="L57" s="1339"/>
      <c r="M57" s="1306"/>
      <c r="N57" s="1339"/>
      <c r="O57" s="285"/>
      <c r="P57" s="1339"/>
      <c r="Q57" s="1306"/>
      <c r="R57" s="1339"/>
      <c r="S57" s="285"/>
      <c r="T57" s="2037"/>
      <c r="U57" s="2037"/>
      <c r="V57" s="1339"/>
      <c r="W57" s="285"/>
      <c r="X57" s="1339"/>
      <c r="Y57" s="1306"/>
      <c r="Z57" s="1871"/>
      <c r="AA57" s="285"/>
      <c r="AB57" s="1339"/>
      <c r="AC57" s="285"/>
      <c r="AD57" s="1339"/>
      <c r="AE57" s="1306"/>
      <c r="AF57" s="1921"/>
      <c r="AG57" s="1306"/>
      <c r="AH57" s="1872"/>
      <c r="AI57" s="1306"/>
      <c r="AJ57" s="1873"/>
      <c r="AK57" s="1859"/>
      <c r="AL57" s="1859"/>
      <c r="AM57" s="1847"/>
    </row>
    <row r="58" spans="1:39" ht="18" customHeight="1" thickBot="1">
      <c r="A58" s="1323" t="s">
        <v>326</v>
      </c>
      <c r="B58" s="1324"/>
      <c r="C58" s="1324"/>
      <c r="D58" s="1308">
        <f>ROUND(SUM(D25)+SUM(D38)+SUM(D47)+SUM(D56),1)</f>
        <v>9001.7999999999993</v>
      </c>
      <c r="E58" s="1312"/>
      <c r="F58" s="1308">
        <f>ROUND(SUM(F25)+SUM(F38)+SUM(F47)+SUM(F56),1)</f>
        <v>19378.400000000001</v>
      </c>
      <c r="G58" s="2038"/>
      <c r="H58" s="1308">
        <f>ROUND(SUM(H25)+SUM(H38)+SUM(H47)+SUM(H56),1)</f>
        <v>837.3</v>
      </c>
      <c r="I58" s="1312"/>
      <c r="J58" s="1308">
        <f>ROUND(SUM(J25)+SUM(J38)+SUM(J47)+SUM(J56),1)</f>
        <v>1703.6</v>
      </c>
      <c r="K58" s="1312"/>
      <c r="L58" s="1308">
        <f>ROUND(SUM(L25)+SUM(L38)+SUM(L47)+SUM(L56),1)</f>
        <v>6600.1</v>
      </c>
      <c r="M58" s="1312"/>
      <c r="N58" s="1308">
        <f>ROUND(SUM(N25)+SUM(N38)+SUM(N47)+SUM(N56),1)</f>
        <v>15832.4</v>
      </c>
      <c r="O58" s="1312"/>
      <c r="P58" s="1308">
        <f>ROUND(SUM(P25)+SUM(P38)+SUM(P47)+SUM(P56),1)</f>
        <v>144</v>
      </c>
      <c r="Q58" s="1312"/>
      <c r="R58" s="1308">
        <f>ROUND(SUM(R25)+SUM(R38)+SUM(R47)+SUM(R56),1)</f>
        <v>314.89999999999998</v>
      </c>
      <c r="S58" s="1312"/>
      <c r="T58" s="2039"/>
      <c r="U58" s="1312"/>
      <c r="V58" s="1874">
        <f>ROUND(SUM(V25)+SUM(V38)+SUM(V47)+SUM(V56),1)</f>
        <v>16583.2</v>
      </c>
      <c r="W58" s="1312"/>
      <c r="X58" s="1874">
        <f>ROUND(SUM(X25)+SUM(X38)+SUM(X47)+SUM(X56),1)</f>
        <v>37229.300000000003</v>
      </c>
      <c r="Y58" s="1875"/>
      <c r="Z58" s="1876"/>
      <c r="AA58" s="1312"/>
      <c r="AB58" s="1874">
        <f>ROUND(SUM(AB25)+SUM(AB38)+SUM(AB47)+SUM(AB56),1)</f>
        <v>13908.1</v>
      </c>
      <c r="AC58" s="1312"/>
      <c r="AD58" s="1874">
        <f>ROUND(SUM(AD25)+SUM(AD38)+SUM(AD47)+SUM(AD56),1)</f>
        <v>33208.5</v>
      </c>
      <c r="AE58" s="1312"/>
      <c r="AF58" s="1922"/>
      <c r="AG58" s="1312"/>
      <c r="AH58" s="1308">
        <f>ROUND(SUM(X58)-SUM(AD58),1)</f>
        <v>4020.8</v>
      </c>
      <c r="AI58" s="1306"/>
      <c r="AJ58" s="1877">
        <f>ROUND(AH58/AD58,3)</f>
        <v>0.121</v>
      </c>
      <c r="AK58" s="1858"/>
      <c r="AL58" s="1859"/>
      <c r="AM58" s="1847"/>
    </row>
    <row r="59" spans="1:39" ht="15" customHeight="1" thickTop="1">
      <c r="F59" s="1319" t="s">
        <v>103</v>
      </c>
      <c r="J59" s="1319" t="s">
        <v>103</v>
      </c>
      <c r="M59" s="1319" t="s">
        <v>103</v>
      </c>
      <c r="N59" s="1319" t="s">
        <v>103</v>
      </c>
      <c r="R59" s="1319" t="s">
        <v>103</v>
      </c>
      <c r="X59" s="1319" t="s">
        <v>103</v>
      </c>
    </row>
    <row r="60" spans="1:39" ht="15" customHeight="1">
      <c r="F60" s="1319" t="s">
        <v>103</v>
      </c>
    </row>
    <row r="61" spans="1:39">
      <c r="H61" s="1319" t="s">
        <v>103</v>
      </c>
      <c r="N61" s="1319" t="s">
        <v>103</v>
      </c>
      <c r="V61" s="1319" t="s">
        <v>103</v>
      </c>
    </row>
    <row r="62" spans="1:39">
      <c r="H62" s="1319" t="s">
        <v>103</v>
      </c>
      <c r="N62" s="1319" t="s">
        <v>103</v>
      </c>
    </row>
    <row r="63" spans="1:39">
      <c r="H63" s="1319" t="s">
        <v>103</v>
      </c>
      <c r="N63" s="1319" t="s">
        <v>103</v>
      </c>
    </row>
    <row r="64" spans="1:39">
      <c r="N64" s="1319" t="s">
        <v>103</v>
      </c>
    </row>
    <row r="66" ht="15" customHeight="1"/>
  </sheetData>
  <customSheetViews>
    <customSheetView guid="{83D69B98-1714-4D17-901F-87B47BE66947}" scale="80" showPageBreaks="1" showGridLines="0" fitToPage="1" printArea="1" topLeftCell="A22">
      <selection activeCell="F40" sqref="F40"/>
      <pageMargins left="0.4" right="0.25" top="0.5" bottom="0.40277777777777801" header="0" footer="0.25"/>
      <printOptions horizontalCentered="1"/>
      <pageSetup scale="10" firstPageNumber="15" orientation="landscape" useFirstPageNumber="1" r:id="rId1"/>
      <headerFooter scaleWithDoc="0" alignWithMargins="0">
        <oddFooter>&amp;C&amp;8&amp;P</oddFooter>
      </headerFooter>
    </customSheetView>
    <customSheetView guid="{F9AE1502-86F7-4AAA-AE66-F6A75A634C1B}" scale="80" showPageBreaks="1" showGridLines="0" fitToPage="1" printArea="1" topLeftCell="A26">
      <selection activeCell="P32" sqref="P32"/>
      <pageMargins left="0.4" right="0.25" top="0.5" bottom="0.40277777777777801" header="0" footer="0.25"/>
      <printOptions horizontalCentered="1"/>
      <pageSetup scale="11" firstPageNumber="15" orientation="landscape" useFirstPageNumber="1" r:id="rId2"/>
      <headerFooter scaleWithDoc="0" alignWithMargins="0">
        <oddFooter>&amp;C&amp;8&amp;P</oddFooter>
      </headerFooter>
    </customSheetView>
    <customSheetView guid="{C41E3923-0A88-49D0-AE43-0E74D386A056}" scale="80" showPageBreaks="1" showGridLines="0" fitToPage="1" printArea="1" topLeftCell="A26">
      <selection activeCell="P32" sqref="P32"/>
      <pageMargins left="0.4" right="0.25" top="0.5" bottom="0.40277777777777801" header="0" footer="0.25"/>
      <printOptions horizontalCentered="1"/>
      <pageSetup scale="42" firstPageNumber="15" orientation="landscape" useFirstPageNumber="1" r:id="rId3"/>
      <headerFooter scaleWithDoc="0" alignWithMargins="0">
        <oddFooter>&amp;C&amp;8&amp;P</oddFooter>
      </headerFooter>
    </customSheetView>
    <customSheetView guid="{1DF171D7-3BFC-49F6-B708-0F91FCFAB6E2}" scale="80" showPageBreaks="1" showGridLines="0" fitToPage="1" printArea="1" topLeftCell="A26">
      <selection activeCell="P32" sqref="P32"/>
      <pageMargins left="0.4" right="0.25" top="0.5" bottom="0.40277777777777801" header="0" footer="0.25"/>
      <printOptions horizontalCentered="1"/>
      <pageSetup scale="42" firstPageNumber="15" orientation="landscape" useFirstPageNumber="1" r:id="rId4"/>
      <headerFooter scaleWithDoc="0" alignWithMargins="0">
        <oddFooter>&amp;C&amp;8&amp;P</oddFooter>
      </headerFooter>
    </customSheetView>
    <customSheetView guid="{9F00D83C-7F4F-41B5-9976-8610D9EBC976}" scale="80" showPageBreaks="1" showGridLines="0" fitToPage="1" printArea="1" topLeftCell="A26">
      <selection activeCell="P32" sqref="P32"/>
      <pageMargins left="0.4" right="0.25" top="0.5" bottom="0.40277777777777801" header="0" footer="0.25"/>
      <printOptions horizontalCentered="1"/>
      <pageSetup scale="10" firstPageNumber="15"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A6">
      <selection activeCell="H22" sqref="H22"/>
      <pageMargins left="0.4" right="0.25" top="0.5" bottom="0.40277777777777801" header="0" footer="0.25"/>
      <printOptions horizontalCentered="1"/>
      <pageSetup scale="10" firstPageNumber="15"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A26">
      <selection activeCell="P32" sqref="P32"/>
      <pageMargins left="0.4" right="0.25" top="0.5" bottom="0.40277777777777801" header="0" footer="0.25"/>
      <printOptions horizontalCentered="1"/>
      <pageSetup scale="10" firstPageNumber="15" orientation="landscape" useFirstPageNumber="1" r:id="rId7"/>
      <headerFooter scaleWithDoc="0" alignWithMargins="0">
        <oddFooter>&amp;C&amp;8&amp;P</oddFooter>
      </headerFooter>
    </customSheetView>
    <customSheetView guid="{C3636880-B45B-4897-94F2-F91976416934}" scale="80" showPageBreaks="1" showGridLines="0" fitToPage="1" printArea="1" topLeftCell="A26">
      <selection activeCell="P32" sqref="P32"/>
      <pageMargins left="0.4" right="0.25" top="0.5" bottom="0.40277777777777801" header="0" footer="0.25"/>
      <printOptions horizontalCentered="1"/>
      <pageSetup scale="43" firstPageNumber="15" orientation="landscape" useFirstPageNumber="1" r:id="rId8"/>
      <headerFooter scaleWithDoc="0" alignWithMargins="0">
        <oddFooter>&amp;C&amp;8&amp;P</oddFooter>
      </headerFooter>
    </customSheetView>
  </customSheetViews>
  <printOptions horizontalCentered="1"/>
  <pageMargins left="0.4" right="0.25" top="0.5" bottom="0.40277777777777801" header="0" footer="0.25"/>
  <pageSetup scale="43" firstPageNumber="15" orientation="landscape" useFirstPageNumber="1" r:id="rId9"/>
  <headerFooter scaleWithDoc="0" alignWithMargins="0">
    <oddFooter>&amp;C&amp;8&amp;P</oddFooter>
  </headerFooter>
  <customProperties>
    <customPr name="SheetOptions" r:id="rId10"/>
  </customProperties>
  <ignoredErrors>
    <ignoredError sqref="F38 R38 F47 AJ50 AJ22 AJ31:AJ33" unlockedFormula="1"/>
    <ignoredError sqref="AH24 AJ19 AH19 V31 V21:X22 AJ21 V23 V44 AJ5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AK162"/>
  <sheetViews>
    <sheetView showGridLines="0" zoomScale="80" zoomScaleNormal="80" workbookViewId="0"/>
  </sheetViews>
  <sheetFormatPr defaultColWidth="8.88671875" defaultRowHeight="16.5" customHeight="1"/>
  <cols>
    <col min="1" max="1" width="43.88671875" style="58" customWidth="1"/>
    <col min="2" max="2" width="1.88671875" style="58" customWidth="1"/>
    <col min="3" max="3" width="13.44140625" style="58" customWidth="1"/>
    <col min="4" max="4" width="1.88671875" style="58" customWidth="1"/>
    <col min="5" max="5" width="13.109375" style="58" customWidth="1"/>
    <col min="6" max="6" width="1.88671875" style="58" customWidth="1"/>
    <col min="7" max="7" width="15.109375" style="58" customWidth="1"/>
    <col min="8" max="8" width="1.88671875" style="58" customWidth="1"/>
    <col min="9" max="9" width="14.88671875" style="58" customWidth="1"/>
    <col min="10" max="10" width="1.88671875" style="58" customWidth="1"/>
    <col min="11" max="11" width="13.109375" style="58" customWidth="1"/>
    <col min="12" max="12" width="1.88671875" style="58" customWidth="1"/>
    <col min="13" max="13" width="13.109375" style="58" customWidth="1"/>
    <col min="14" max="14" width="1.88671875" style="58" customWidth="1"/>
    <col min="15" max="15" width="13.109375" style="58" customWidth="1"/>
    <col min="16" max="16" width="1.88671875" style="58" customWidth="1"/>
    <col min="17" max="17" width="13.44140625" style="58" customWidth="1"/>
    <col min="18" max="18" width="1.88671875" style="58" customWidth="1"/>
    <col min="19" max="19" width="13.109375" style="58" customWidth="1"/>
    <col min="20" max="20" width="1.88671875" style="58" customWidth="1"/>
    <col min="21" max="21" width="13" style="58" customWidth="1"/>
    <col min="22" max="22" width="1.88671875" style="58" customWidth="1"/>
    <col min="23" max="23" width="13.88671875" style="58" customWidth="1"/>
    <col min="24" max="24" width="1.88671875" style="58" customWidth="1"/>
    <col min="25" max="25" width="12.88671875" style="58" customWidth="1"/>
    <col min="26" max="27" width="0.88671875" style="58" customWidth="1"/>
    <col min="28" max="28" width="15.109375" style="58" customWidth="1"/>
    <col min="29" max="30" width="0.88671875" style="58" customWidth="1"/>
    <col min="31" max="31" width="15.109375" style="58" customWidth="1"/>
    <col min="32" max="33" width="0.88671875" style="58" customWidth="1"/>
    <col min="34" max="34" width="12.88671875" style="58" bestFit="1" customWidth="1"/>
    <col min="35" max="35" width="1.109375" style="58" customWidth="1"/>
    <col min="36" max="36" width="12.44140625" style="58" customWidth="1"/>
    <col min="37" max="16384" width="8.88671875" style="58"/>
  </cols>
  <sheetData>
    <row r="1" spans="1:37" ht="16.5" customHeight="1">
      <c r="A1" s="265" t="s">
        <v>97</v>
      </c>
    </row>
    <row r="2" spans="1:37" ht="16.5" customHeight="1">
      <c r="A2" s="354"/>
    </row>
    <row r="3" spans="1:37" ht="23.1" customHeight="1">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25" customHeight="1">
      <c r="A4" s="60" t="s">
        <v>327</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3"/>
      <c r="AD5" s="2064"/>
      <c r="AE5" s="2064"/>
      <c r="AF5" s="2064"/>
      <c r="AG5" s="2064"/>
      <c r="AH5" s="2064"/>
      <c r="AI5" s="2064"/>
      <c r="AJ5" s="2064"/>
    </row>
    <row r="6" spans="1:37" ht="23.25" customHeight="1">
      <c r="A6" s="61" t="str">
        <f>'Exh D Governmental  '!A5</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6.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6.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6.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6.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6.5" customHeight="1">
      <c r="A12" s="62"/>
      <c r="B12" s="62"/>
      <c r="C12" s="62" t="s">
        <v>103</v>
      </c>
      <c r="D12" s="62" t="s">
        <v>103</v>
      </c>
      <c r="E12" s="62"/>
      <c r="F12" s="62"/>
      <c r="G12" s="62"/>
      <c r="H12" s="62"/>
      <c r="I12" s="62"/>
      <c r="J12" s="62"/>
      <c r="K12" s="62"/>
      <c r="L12" s="62"/>
      <c r="M12" s="62"/>
      <c r="N12" s="62"/>
      <c r="O12" s="62"/>
      <c r="P12" s="62"/>
      <c r="Q12" s="62"/>
      <c r="R12" s="62"/>
      <c r="S12" s="62"/>
      <c r="T12" s="62"/>
      <c r="U12" s="62"/>
      <c r="V12" s="62"/>
      <c r="W12" s="62"/>
      <c r="X12" s="62"/>
      <c r="Z12" s="62"/>
      <c r="AA12" s="189"/>
      <c r="AB12" s="2065" t="str">
        <f>_xlfn.CONCAT(_xlfn.TEXTBEFORE('Exhibit A'!F11," ")," Months Ended ",PROPER(LEFT(_xlfn.TEXTAFTER('Exh D Governmental  '!A6," ",4),FIND(",",_xlfn.TEXTAFTER('Exh D Governmental  '!A6," ",4))-1)))</f>
        <v>3 Months Ended June 30</v>
      </c>
      <c r="AC12" s="2061"/>
      <c r="AD12" s="2061"/>
      <c r="AE12" s="2061"/>
      <c r="AF12" s="2061"/>
      <c r="AG12" s="2061"/>
      <c r="AH12" s="2061"/>
      <c r="AI12" s="2061"/>
      <c r="AJ12" s="2061"/>
    </row>
    <row r="13" spans="1:37" ht="16.5" customHeight="1">
      <c r="A13" s="62"/>
      <c r="B13" s="62"/>
      <c r="C13" s="558" t="str">
        <f>RIGHT(_xlfn.TEXTBEFORE(A6,"-"),4)</f>
        <v>2026</v>
      </c>
      <c r="D13" s="187"/>
      <c r="E13" s="187"/>
      <c r="F13" s="187"/>
      <c r="G13" s="187"/>
      <c r="H13" s="187"/>
      <c r="I13" s="187"/>
      <c r="J13" s="187"/>
      <c r="K13" s="187"/>
      <c r="L13" s="187"/>
      <c r="M13" s="187"/>
      <c r="N13" s="187"/>
      <c r="O13" s="187"/>
      <c r="P13" s="187"/>
      <c r="Q13" s="187"/>
      <c r="R13" s="187"/>
      <c r="S13" s="187"/>
      <c r="T13" s="187"/>
      <c r="U13" s="558">
        <f>C13+1</f>
        <v>2027</v>
      </c>
      <c r="V13" s="187"/>
      <c r="W13" s="187"/>
      <c r="X13" s="187"/>
      <c r="Y13" s="187"/>
      <c r="Z13" s="187"/>
      <c r="AA13" s="187"/>
      <c r="AB13" s="187"/>
      <c r="AC13" s="187"/>
      <c r="AD13" s="187"/>
      <c r="AE13" s="187"/>
      <c r="AF13" s="187"/>
      <c r="AG13" s="187"/>
      <c r="AH13" s="317" t="s">
        <v>110</v>
      </c>
      <c r="AI13" s="856"/>
      <c r="AJ13" s="317" t="s">
        <v>111</v>
      </c>
    </row>
    <row r="14" spans="1:37" ht="16.5" customHeight="1">
      <c r="A14" s="62"/>
      <c r="B14" s="62"/>
      <c r="C14" s="317" t="s">
        <v>329</v>
      </c>
      <c r="D14" s="187"/>
      <c r="E14" s="317" t="s">
        <v>330</v>
      </c>
      <c r="F14" s="187"/>
      <c r="G14" s="317" t="s">
        <v>331</v>
      </c>
      <c r="H14" s="187"/>
      <c r="I14" s="317" t="s">
        <v>332</v>
      </c>
      <c r="J14" s="187"/>
      <c r="K14" s="317" t="s">
        <v>333</v>
      </c>
      <c r="L14" s="187"/>
      <c r="M14" s="317" t="s">
        <v>334</v>
      </c>
      <c r="N14" s="187"/>
      <c r="O14" s="317" t="s">
        <v>335</v>
      </c>
      <c r="P14" s="187"/>
      <c r="Q14" s="317" t="s">
        <v>336</v>
      </c>
      <c r="R14" s="187"/>
      <c r="S14" s="317" t="s">
        <v>337</v>
      </c>
      <c r="T14" s="187"/>
      <c r="U14" s="317" t="s">
        <v>338</v>
      </c>
      <c r="V14" s="187"/>
      <c r="W14" s="317" t="s">
        <v>339</v>
      </c>
      <c r="X14" s="187"/>
      <c r="Y14" s="317" t="s">
        <v>340</v>
      </c>
      <c r="Z14" s="187"/>
      <c r="AA14" s="187"/>
      <c r="AB14" s="852" t="str">
        <f>RIGHT('Exhibit A'!D12,4)</f>
        <v>2026</v>
      </c>
      <c r="AC14" s="187"/>
      <c r="AD14" s="187"/>
      <c r="AE14" s="852" t="str">
        <f>RIGHT('Exhibit A'!AB12,4)</f>
        <v>2025</v>
      </c>
      <c r="AF14" s="187"/>
      <c r="AG14" s="187"/>
      <c r="AH14" s="868" t="s">
        <v>112</v>
      </c>
      <c r="AI14" s="856"/>
      <c r="AJ14" s="868" t="s">
        <v>113</v>
      </c>
    </row>
    <row r="15" spans="1:37" ht="6" customHeight="1">
      <c r="A15" s="62"/>
      <c r="B15" s="62"/>
      <c r="C15" s="1011"/>
      <c r="D15" s="62"/>
      <c r="E15" s="1011"/>
      <c r="F15" s="62"/>
      <c r="G15" s="1011"/>
      <c r="H15" s="62"/>
      <c r="I15" s="1011"/>
      <c r="J15" s="62"/>
      <c r="K15" s="1011"/>
      <c r="L15" s="62"/>
      <c r="M15" s="1011"/>
      <c r="N15" s="62"/>
      <c r="O15" s="1011" t="s">
        <v>103</v>
      </c>
      <c r="P15" s="62"/>
      <c r="Q15" s="1011"/>
      <c r="R15" s="62"/>
      <c r="S15" s="1011"/>
      <c r="T15" s="62"/>
      <c r="U15" s="1011" t="s">
        <v>103</v>
      </c>
      <c r="V15" s="62"/>
      <c r="W15" s="1011"/>
      <c r="X15" s="62"/>
      <c r="Y15" s="1011"/>
      <c r="Z15" s="62"/>
      <c r="AA15" s="62"/>
      <c r="AB15" s="1011"/>
      <c r="AC15" s="62"/>
      <c r="AD15" s="62"/>
      <c r="AE15" s="1011"/>
      <c r="AF15" s="62"/>
      <c r="AG15" s="190"/>
      <c r="AI15" s="62"/>
    </row>
    <row r="16" spans="1:37" ht="16.5" customHeight="1">
      <c r="A16" s="188" t="s">
        <v>341</v>
      </c>
      <c r="B16" s="62"/>
      <c r="C16" s="190">
        <f>'Exhibit F'!D13+'Exhibit G'!D13+'Exhibit H'!B13+'Exhibit I'!E13</f>
        <v>75007.799999999988</v>
      </c>
      <c r="D16" s="190"/>
      <c r="E16" s="190">
        <f>C148</f>
        <v>81217.2</v>
      </c>
      <c r="F16" s="190"/>
      <c r="G16" s="190">
        <f>E148</f>
        <v>75589.7</v>
      </c>
      <c r="H16" s="190"/>
      <c r="I16" s="190"/>
      <c r="J16" s="190"/>
      <c r="K16" s="190"/>
      <c r="L16" s="190"/>
      <c r="M16" s="190"/>
      <c r="N16" s="190"/>
      <c r="O16" s="190"/>
      <c r="P16" s="190"/>
      <c r="Q16" s="190"/>
      <c r="R16" s="190"/>
      <c r="S16" s="190"/>
      <c r="T16" s="190"/>
      <c r="U16" s="190"/>
      <c r="V16" s="190"/>
      <c r="W16" s="190"/>
      <c r="X16" s="190"/>
      <c r="Y16" s="190"/>
      <c r="Z16" s="190"/>
      <c r="AA16" s="191"/>
      <c r="AB16" s="190">
        <f>C16</f>
        <v>75007.799999999988</v>
      </c>
      <c r="AC16" s="190"/>
      <c r="AD16" s="857"/>
      <c r="AE16" s="190">
        <f>'Exhibit F'!AF13+'Exhibit G'!AH13+'Exhibit H'!AD13+'Exhibit I'!AI13</f>
        <v>73696.399999999994</v>
      </c>
      <c r="AF16" s="1544"/>
      <c r="AH16" s="190">
        <f>ROUND(SUM(AB16-AE16),1)</f>
        <v>1311.4</v>
      </c>
      <c r="AI16" s="187"/>
      <c r="AJ16" s="74">
        <f>ROUND(SUM(AH16/AE16),3)</f>
        <v>1.7999999999999999E-2</v>
      </c>
      <c r="AK16" s="129"/>
    </row>
    <row r="17" spans="1:37" ht="16.5" customHeight="1">
      <c r="A17" s="62"/>
      <c r="B17" s="62"/>
      <c r="C17" s="62" t="s">
        <v>103</v>
      </c>
      <c r="D17" s="62"/>
      <c r="E17" s="192"/>
      <c r="F17" s="192"/>
      <c r="G17" s="192"/>
      <c r="H17" s="62"/>
      <c r="I17" s="192"/>
      <c r="J17" s="62"/>
      <c r="K17" s="192"/>
      <c r="L17" s="62"/>
      <c r="M17" s="192"/>
      <c r="N17" s="62"/>
      <c r="O17" s="192"/>
      <c r="P17" s="62"/>
      <c r="Q17" s="192"/>
      <c r="R17" s="62"/>
      <c r="S17" s="192"/>
      <c r="T17" s="62"/>
      <c r="U17" s="192"/>
      <c r="V17" s="62"/>
      <c r="W17" s="192"/>
      <c r="X17" s="62"/>
      <c r="Y17" s="192"/>
      <c r="Z17" s="62"/>
      <c r="AA17" s="193"/>
      <c r="AB17" s="62" t="s">
        <v>103</v>
      </c>
      <c r="AC17" s="62"/>
      <c r="AD17" s="858"/>
      <c r="AE17" s="62" t="s">
        <v>103</v>
      </c>
      <c r="AF17" s="1543"/>
      <c r="AG17" s="62"/>
      <c r="AH17" s="268"/>
      <c r="AI17" s="62"/>
      <c r="AJ17" s="268"/>
    </row>
    <row r="18" spans="1:37" ht="16.5" customHeight="1">
      <c r="A18" s="40" t="s">
        <v>114</v>
      </c>
      <c r="B18" s="62"/>
      <c r="C18" s="62"/>
      <c r="D18" s="62"/>
      <c r="E18" s="192"/>
      <c r="F18" s="192"/>
      <c r="G18" s="192"/>
      <c r="H18" s="62"/>
      <c r="I18" s="192"/>
      <c r="J18" s="62"/>
      <c r="K18" s="192"/>
      <c r="L18" s="62"/>
      <c r="M18" s="192"/>
      <c r="N18" s="62"/>
      <c r="O18" s="192"/>
      <c r="P18" s="62"/>
      <c r="Q18" s="192"/>
      <c r="R18" s="62"/>
      <c r="S18" s="192"/>
      <c r="T18" s="62"/>
      <c r="U18" s="192"/>
      <c r="V18" s="62"/>
      <c r="W18" s="192"/>
      <c r="X18" s="62"/>
      <c r="Y18" s="192"/>
      <c r="Z18" s="62"/>
      <c r="AA18" s="193"/>
      <c r="AB18" s="62"/>
      <c r="AC18" s="62"/>
      <c r="AD18" s="858"/>
      <c r="AE18" s="62"/>
      <c r="AF18" s="1543"/>
      <c r="AG18" s="62"/>
      <c r="AH18" s="268"/>
      <c r="AI18" s="62"/>
      <c r="AJ18" s="268"/>
    </row>
    <row r="19" spans="1:37" ht="16.5" customHeight="1">
      <c r="A19" s="1216" t="s">
        <v>342</v>
      </c>
      <c r="B19" s="62"/>
      <c r="C19" s="62"/>
      <c r="D19" s="62"/>
      <c r="E19" s="192"/>
      <c r="F19" s="19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8"/>
      <c r="AE19" s="62"/>
      <c r="AF19" s="1543"/>
      <c r="AG19" s="62"/>
      <c r="AH19" s="268"/>
      <c r="AI19" s="62"/>
      <c r="AJ19" s="268"/>
    </row>
    <row r="20" spans="1:37" ht="16.5" customHeight="1">
      <c r="A20" s="412" t="s">
        <v>343</v>
      </c>
      <c r="B20" s="284"/>
      <c r="C20" s="254"/>
      <c r="D20" s="254"/>
      <c r="E20" s="254"/>
      <c r="F20" s="254"/>
      <c r="G20" s="254"/>
      <c r="H20" s="62"/>
      <c r="I20" s="254"/>
      <c r="J20" s="62"/>
      <c r="K20" s="192"/>
      <c r="L20" s="62"/>
      <c r="M20" s="192"/>
      <c r="N20" s="62"/>
      <c r="O20" s="192"/>
      <c r="P20" s="62"/>
      <c r="Q20" s="192"/>
      <c r="R20" s="62"/>
      <c r="S20" s="192"/>
      <c r="T20" s="62"/>
      <c r="U20" s="192"/>
      <c r="V20" s="62"/>
      <c r="W20" s="192"/>
      <c r="X20" s="62"/>
      <c r="Y20" s="192"/>
      <c r="Z20" s="62"/>
      <c r="AA20" s="390"/>
      <c r="AB20" s="62"/>
      <c r="AC20" s="62"/>
      <c r="AD20" s="858"/>
      <c r="AE20" s="62"/>
      <c r="AF20" s="1543"/>
      <c r="AG20" s="62"/>
      <c r="AH20" s="268"/>
      <c r="AI20" s="62"/>
      <c r="AJ20" s="268"/>
    </row>
    <row r="21" spans="1:37" ht="16.5" customHeight="1">
      <c r="A21" s="284" t="s">
        <v>344</v>
      </c>
      <c r="B21" s="284"/>
      <c r="C21" s="105">
        <f>+'Exhibit F'!D18</f>
        <v>5407.3</v>
      </c>
      <c r="D21" s="105"/>
      <c r="E21" s="105">
        <f>+'Exhibit F'!F18</f>
        <v>4600.9999999999991</v>
      </c>
      <c r="F21" s="105"/>
      <c r="G21" s="105">
        <f>+'Exhibit F'!H18</f>
        <v>4759.4999999999991</v>
      </c>
      <c r="H21" s="194"/>
      <c r="I21" s="105"/>
      <c r="J21" s="194"/>
      <c r="K21" s="105"/>
      <c r="L21" s="62"/>
      <c r="M21" s="105"/>
      <c r="N21" s="62"/>
      <c r="O21" s="105"/>
      <c r="P21" s="62"/>
      <c r="Q21" s="105"/>
      <c r="R21" s="105"/>
      <c r="S21" s="105"/>
      <c r="T21" s="105"/>
      <c r="U21" s="105"/>
      <c r="V21" s="105"/>
      <c r="W21" s="105"/>
      <c r="X21" s="105"/>
      <c r="Y21" s="105"/>
      <c r="Z21" s="62"/>
      <c r="AA21" s="390"/>
      <c r="AB21" s="194">
        <f>ROUND(SUM(C21:Y21),1)</f>
        <v>14767.8</v>
      </c>
      <c r="AC21" s="62"/>
      <c r="AD21" s="858"/>
      <c r="AE21" s="105">
        <f>+'Exhibit F'!AF18</f>
        <v>13511</v>
      </c>
      <c r="AF21" s="1543"/>
      <c r="AG21" s="62"/>
      <c r="AH21" s="264">
        <f>ROUND(SUM(+AB21-AE21),1)</f>
        <v>1256.8</v>
      </c>
      <c r="AI21" s="63"/>
      <c r="AJ21" s="374">
        <f>ROUND(IF(AE21=0,0,AH21/ABS(AE21)),3)</f>
        <v>9.2999999999999999E-2</v>
      </c>
    </row>
    <row r="22" spans="1:37" ht="16.5" customHeight="1">
      <c r="A22" s="284" t="s">
        <v>345</v>
      </c>
      <c r="B22" s="286"/>
      <c r="C22" s="105">
        <f>+'Exhibit F'!D19</f>
        <v>7071.9</v>
      </c>
      <c r="D22" s="105"/>
      <c r="E22" s="105">
        <f>+'Exhibit F'!F19</f>
        <v>102.80000000000018</v>
      </c>
      <c r="F22" s="105"/>
      <c r="G22" s="105">
        <f>+'Exhibit F'!H19</f>
        <v>2120.6999999999989</v>
      </c>
      <c r="H22" s="194"/>
      <c r="I22" s="105"/>
      <c r="J22" s="194"/>
      <c r="K22" s="105"/>
      <c r="L22" s="62"/>
      <c r="M22" s="105"/>
      <c r="N22" s="62"/>
      <c r="O22" s="105"/>
      <c r="P22" s="62"/>
      <c r="Q22" s="105"/>
      <c r="R22" s="62"/>
      <c r="S22" s="105"/>
      <c r="T22" s="62"/>
      <c r="U22" s="105"/>
      <c r="V22" s="105"/>
      <c r="W22" s="105"/>
      <c r="X22" s="105"/>
      <c r="Y22" s="105"/>
      <c r="Z22" s="62"/>
      <c r="AA22" s="390"/>
      <c r="AB22" s="194">
        <f>ROUND(SUM(C22:Y22),1)</f>
        <v>9295.4</v>
      </c>
      <c r="AC22" s="62"/>
      <c r="AD22" s="858"/>
      <c r="AE22" s="105">
        <f>+'Exhibit F'!AF19</f>
        <v>8407.2000000000007</v>
      </c>
      <c r="AF22" s="1543"/>
      <c r="AG22" s="62"/>
      <c r="AH22" s="264">
        <f>ROUND(SUM(+AB22-AE22),1)</f>
        <v>888.2</v>
      </c>
      <c r="AI22" s="63"/>
      <c r="AJ22" s="859">
        <f>ROUND(IF(AE22=0,0,AH22/ABS(AE22)),3)</f>
        <v>0.106</v>
      </c>
    </row>
    <row r="23" spans="1:37" ht="16.5" customHeight="1">
      <c r="A23" s="284" t="s">
        <v>346</v>
      </c>
      <c r="B23" s="284"/>
      <c r="C23" s="105">
        <f>+'Exhibit F'!D20</f>
        <v>3100.3</v>
      </c>
      <c r="D23" s="105"/>
      <c r="E23" s="105">
        <f>+'Exhibit F'!F20</f>
        <v>129.69999999999982</v>
      </c>
      <c r="F23" s="105"/>
      <c r="G23" s="105">
        <f>+'Exhibit F'!H20</f>
        <v>113.59999999999991</v>
      </c>
      <c r="H23" s="194"/>
      <c r="I23" s="105"/>
      <c r="J23" s="194"/>
      <c r="K23" s="105"/>
      <c r="L23" s="62"/>
      <c r="M23" s="105"/>
      <c r="N23" s="62"/>
      <c r="O23" s="105"/>
      <c r="P23" s="62"/>
      <c r="Q23" s="105"/>
      <c r="R23" s="62"/>
      <c r="S23" s="105"/>
      <c r="T23" s="62"/>
      <c r="U23" s="105"/>
      <c r="V23" s="105"/>
      <c r="W23" s="105"/>
      <c r="X23" s="105"/>
      <c r="Y23" s="105"/>
      <c r="Z23" s="62"/>
      <c r="AA23" s="390"/>
      <c r="AB23" s="194">
        <f>ROUND(SUM(C23:Y23),1)</f>
        <v>3343.6</v>
      </c>
      <c r="AC23" s="62"/>
      <c r="AD23" s="858"/>
      <c r="AE23" s="105">
        <f>+'Exhibit F'!AF20</f>
        <v>3091.3</v>
      </c>
      <c r="AF23" s="1543"/>
      <c r="AG23" s="62"/>
      <c r="AH23" s="264">
        <f>ROUND(SUM(+AB23-AE23),1)</f>
        <v>252.3</v>
      </c>
      <c r="AI23" s="63"/>
      <c r="AJ23" s="374">
        <f>ROUND(IF(AE23=0,0,AH23/ABS(AE23)),3)</f>
        <v>8.2000000000000003E-2</v>
      </c>
    </row>
    <row r="24" spans="1:37" ht="16.5" customHeight="1">
      <c r="A24" s="420" t="s">
        <v>347</v>
      </c>
      <c r="B24" s="284"/>
      <c r="C24" s="105">
        <f>+'Exhibit F'!D21</f>
        <v>-553.5</v>
      </c>
      <c r="D24" s="105"/>
      <c r="E24" s="105">
        <f>+'Exhibit F'!F21</f>
        <v>-69.600000000000023</v>
      </c>
      <c r="F24" s="105"/>
      <c r="G24" s="105">
        <f>+'Exhibit F'!H21</f>
        <v>-60.399999999999977</v>
      </c>
      <c r="H24" s="194"/>
      <c r="I24" s="105"/>
      <c r="J24" s="194"/>
      <c r="K24" s="105"/>
      <c r="L24" s="62"/>
      <c r="M24" s="105"/>
      <c r="N24" s="62"/>
      <c r="O24" s="105"/>
      <c r="P24" s="62"/>
      <c r="Q24" s="105"/>
      <c r="R24" s="62"/>
      <c r="S24" s="105"/>
      <c r="T24" s="62"/>
      <c r="U24" s="105"/>
      <c r="V24" s="105"/>
      <c r="W24" s="105"/>
      <c r="X24" s="105"/>
      <c r="Y24" s="105"/>
      <c r="Z24" s="62"/>
      <c r="AA24" s="390"/>
      <c r="AB24" s="194">
        <f t="shared" ref="AB24:AB29" si="0">ROUND(SUM(C24:Y24),1)</f>
        <v>-683.5</v>
      </c>
      <c r="AC24" s="62"/>
      <c r="AD24" s="858"/>
      <c r="AE24" s="105">
        <f>+'Exhibit F'!AF21</f>
        <v>-625</v>
      </c>
      <c r="AF24" s="1543"/>
      <c r="AG24" s="62"/>
      <c r="AH24" s="264">
        <f>-ROUND(SUM(+AB24-AE24),1)</f>
        <v>58.5</v>
      </c>
      <c r="AI24" s="63"/>
      <c r="AJ24" s="266">
        <f>ROUND(IF(AE24=0,0,AH24/ABS(AE24)),3)</f>
        <v>9.4E-2</v>
      </c>
    </row>
    <row r="25" spans="1:37" ht="16.5" customHeight="1">
      <c r="A25" s="420" t="s">
        <v>348</v>
      </c>
      <c r="B25" s="284"/>
      <c r="C25" s="105">
        <f>+'Exhibit F'!D22</f>
        <v>253.6</v>
      </c>
      <c r="D25" s="105"/>
      <c r="E25" s="105">
        <f>+'Exhibit F'!F22</f>
        <v>148.29999999999998</v>
      </c>
      <c r="F25" s="105"/>
      <c r="G25" s="105">
        <f>+'Exhibit F'!H22</f>
        <v>163.00000000000003</v>
      </c>
      <c r="H25" s="194"/>
      <c r="I25" s="105"/>
      <c r="J25" s="194"/>
      <c r="K25" s="105"/>
      <c r="L25" s="62"/>
      <c r="M25" s="105"/>
      <c r="N25" s="62"/>
      <c r="O25" s="105"/>
      <c r="P25" s="62"/>
      <c r="Q25" s="105"/>
      <c r="R25" s="62"/>
      <c r="S25" s="105"/>
      <c r="T25" s="62"/>
      <c r="U25" s="105"/>
      <c r="V25" s="105"/>
      <c r="W25" s="105"/>
      <c r="X25" s="105"/>
      <c r="Y25" s="105"/>
      <c r="Z25" s="62"/>
      <c r="AA25" s="390"/>
      <c r="AB25" s="194">
        <f t="shared" si="0"/>
        <v>564.9</v>
      </c>
      <c r="AC25" s="62"/>
      <c r="AD25" s="858"/>
      <c r="AE25" s="105">
        <f>+'Exhibit F'!AF22</f>
        <v>553.9</v>
      </c>
      <c r="AF25" s="1543"/>
      <c r="AG25" s="62"/>
      <c r="AH25" s="264">
        <f>ROUND(SUM(+AB25-AE25),1)</f>
        <v>11</v>
      </c>
      <c r="AI25" s="63"/>
      <c r="AJ25" s="266">
        <f t="shared" ref="AJ25:AJ30" si="1">ROUND(IF(AE25=0,0,AH25/ABS(AE25)),3)</f>
        <v>0.02</v>
      </c>
    </row>
    <row r="26" spans="1:37" ht="16.5" customHeight="1">
      <c r="A26" s="285" t="s">
        <v>349</v>
      </c>
      <c r="B26" s="285"/>
      <c r="C26" s="1010">
        <f>ROUND(SUM(C21:C25),1)</f>
        <v>15279.6</v>
      </c>
      <c r="D26" s="1"/>
      <c r="E26" s="1010">
        <f>ROUND(SUM(E21:E25),1)</f>
        <v>4912.2</v>
      </c>
      <c r="F26" s="1"/>
      <c r="G26" s="1010">
        <f>ROUND(SUM(G21:G25),1)</f>
        <v>7096.4</v>
      </c>
      <c r="H26" s="62"/>
      <c r="I26" s="1012">
        <f>ROUND(SUM(I21:I25),1)</f>
        <v>0</v>
      </c>
      <c r="J26" s="62"/>
      <c r="K26" s="1012">
        <f>ROUND(SUM(K21:K25),1)</f>
        <v>0</v>
      </c>
      <c r="L26" s="62"/>
      <c r="M26" s="1012">
        <f>ROUND(SUM(M21:M25),1)</f>
        <v>0</v>
      </c>
      <c r="N26" s="62"/>
      <c r="O26" s="1012">
        <f>ROUND(SUM(O21:O25),1)</f>
        <v>0</v>
      </c>
      <c r="P26" s="62"/>
      <c r="Q26" s="1012">
        <f>ROUND(SUM(Q21:Q25),1)</f>
        <v>0</v>
      </c>
      <c r="R26" s="62"/>
      <c r="S26" s="1012">
        <f>ROUND(SUM(S21:S25),1)</f>
        <v>0</v>
      </c>
      <c r="T26" s="62"/>
      <c r="U26" s="1012">
        <f>ROUND(SUM(U21:U25),1)</f>
        <v>0</v>
      </c>
      <c r="V26" s="62"/>
      <c r="W26" s="1012">
        <f>ROUND(SUM(W21:W25),1)</f>
        <v>0</v>
      </c>
      <c r="X26" s="62"/>
      <c r="Y26" s="1012">
        <f>ROUND(SUM(Y21:Y25),1)</f>
        <v>0</v>
      </c>
      <c r="Z26" s="62"/>
      <c r="AA26" s="390"/>
      <c r="AB26" s="1013">
        <f>ROUND(SUM(C26:Y26),1)</f>
        <v>27288.2</v>
      </c>
      <c r="AC26" s="62"/>
      <c r="AD26" s="858"/>
      <c r="AE26" s="1012">
        <f>ROUND(SUM(AE21:AE25),1)</f>
        <v>24938.400000000001</v>
      </c>
      <c r="AF26" s="1543"/>
      <c r="AG26" s="62"/>
      <c r="AH26" s="673">
        <f>ROUND(SUM(AB26-AE26),1)</f>
        <v>2349.8000000000002</v>
      </c>
      <c r="AI26" s="63"/>
      <c r="AJ26" s="982">
        <f t="shared" si="1"/>
        <v>9.4E-2</v>
      </c>
      <c r="AK26" s="58" t="s">
        <v>103</v>
      </c>
    </row>
    <row r="27" spans="1:37" ht="16.5" customHeight="1">
      <c r="A27" s="420" t="s">
        <v>350</v>
      </c>
      <c r="B27" s="284"/>
      <c r="C27" s="1009">
        <v>0</v>
      </c>
      <c r="D27" s="1009"/>
      <c r="E27" s="1009">
        <v>0</v>
      </c>
      <c r="F27" s="1009"/>
      <c r="G27" s="1009">
        <v>0</v>
      </c>
      <c r="H27" s="194"/>
      <c r="I27" s="1009"/>
      <c r="J27" s="194"/>
      <c r="K27" s="1009"/>
      <c r="L27" s="62"/>
      <c r="M27" s="1009"/>
      <c r="N27" s="62"/>
      <c r="O27" s="1009"/>
      <c r="P27" s="62"/>
      <c r="Q27" s="1009"/>
      <c r="R27" s="255"/>
      <c r="S27" s="1009"/>
      <c r="T27" s="255"/>
      <c r="U27" s="1009"/>
      <c r="V27" s="255"/>
      <c r="W27" s="1009"/>
      <c r="X27" s="255"/>
      <c r="Y27" s="1009"/>
      <c r="Z27" s="62"/>
      <c r="AA27" s="390"/>
      <c r="AB27" s="194">
        <f t="shared" si="0"/>
        <v>0</v>
      </c>
      <c r="AC27" s="62"/>
      <c r="AD27" s="858"/>
      <c r="AE27" s="1009">
        <f>+'Exhibit F'!AF24+'Exhibit G'!AH17</f>
        <v>0</v>
      </c>
      <c r="AF27" s="1543"/>
      <c r="AG27" s="62"/>
      <c r="AH27" s="264">
        <f>ROUND(SUM(+AB27-AE27),1)</f>
        <v>0</v>
      </c>
      <c r="AI27" s="63"/>
      <c r="AJ27" s="266">
        <f t="shared" si="1"/>
        <v>0</v>
      </c>
    </row>
    <row r="28" spans="1:37" ht="16.5" customHeight="1">
      <c r="A28" s="420" t="s">
        <v>351</v>
      </c>
      <c r="B28" s="284"/>
      <c r="C28" s="255">
        <f>'Exhibit F'!D25+'Exhibit H'!B17</f>
        <v>0</v>
      </c>
      <c r="D28" s="255"/>
      <c r="E28" s="255">
        <f>'Exhibit F'!F25+'Exhibit H'!D17</f>
        <v>0</v>
      </c>
      <c r="F28" s="255"/>
      <c r="G28" s="255">
        <f>'Exhibit F'!H25+'Exhibit H'!F17</f>
        <v>0</v>
      </c>
      <c r="H28" s="194"/>
      <c r="I28" s="255"/>
      <c r="J28" s="194"/>
      <c r="K28" s="255"/>
      <c r="L28" s="62"/>
      <c r="M28" s="255"/>
      <c r="N28" s="62"/>
      <c r="O28" s="255"/>
      <c r="P28" s="62"/>
      <c r="Q28" s="255"/>
      <c r="R28" s="255"/>
      <c r="S28" s="255"/>
      <c r="T28" s="255"/>
      <c r="U28" s="255"/>
      <c r="V28" s="255"/>
      <c r="W28" s="255"/>
      <c r="X28" s="255"/>
      <c r="Y28" s="255"/>
      <c r="Z28" s="62"/>
      <c r="AA28" s="390"/>
      <c r="AB28" s="194">
        <f>ROUND(SUM(C28:Y28),1)</f>
        <v>0</v>
      </c>
      <c r="AC28" s="62"/>
      <c r="AD28" s="858"/>
      <c r="AE28" s="255">
        <f>+'Exhibit F'!AF25+'Exhibit H'!AD17</f>
        <v>0</v>
      </c>
      <c r="AF28" s="1543"/>
      <c r="AG28" s="62"/>
      <c r="AH28" s="264">
        <f>ROUND(SUM(+AB28-AE28),1)</f>
        <v>0</v>
      </c>
      <c r="AI28" s="63"/>
      <c r="AJ28" s="266">
        <f>ROUND(IF(AE28=0,0,AH28/ABS(AE28)),3)</f>
        <v>0</v>
      </c>
    </row>
    <row r="29" spans="1:37" ht="16.5" customHeight="1">
      <c r="A29" s="284" t="s">
        <v>352</v>
      </c>
      <c r="B29" s="284"/>
      <c r="C29" s="105">
        <f>+'Exhibit F'!D26</f>
        <v>-4825.2</v>
      </c>
      <c r="D29" s="105"/>
      <c r="E29" s="105">
        <f>+'Exhibit F'!F26</f>
        <v>-863.19999999999982</v>
      </c>
      <c r="F29" s="105"/>
      <c r="G29" s="105">
        <f>+'Exhibit F'!H26</f>
        <v>-713.60000000000036</v>
      </c>
      <c r="H29" s="194"/>
      <c r="I29" s="105"/>
      <c r="J29" s="194"/>
      <c r="K29" s="105"/>
      <c r="L29" s="62"/>
      <c r="M29" s="105"/>
      <c r="N29" s="62"/>
      <c r="O29" s="105"/>
      <c r="P29" s="62"/>
      <c r="Q29" s="105"/>
      <c r="R29" s="105"/>
      <c r="S29" s="105"/>
      <c r="T29" s="105"/>
      <c r="U29" s="105"/>
      <c r="V29" s="62"/>
      <c r="W29" s="105"/>
      <c r="X29" s="105"/>
      <c r="Y29" s="105"/>
      <c r="Z29" s="62"/>
      <c r="AA29" s="390"/>
      <c r="AB29" s="194">
        <f t="shared" si="0"/>
        <v>-6402</v>
      </c>
      <c r="AC29" s="62"/>
      <c r="AD29" s="858"/>
      <c r="AE29" s="105">
        <f>+'Exhibit F'!AF26</f>
        <v>-5729.1</v>
      </c>
      <c r="AF29" s="1543"/>
      <c r="AG29" s="62"/>
      <c r="AH29" s="264">
        <f>-ROUND(SUM(+AB29-AE29),1)</f>
        <v>672.9</v>
      </c>
      <c r="AI29" s="63"/>
      <c r="AJ29" s="266">
        <f t="shared" si="1"/>
        <v>0.11700000000000001</v>
      </c>
    </row>
    <row r="30" spans="1:37" ht="16.5" customHeight="1">
      <c r="A30" s="83" t="s">
        <v>353</v>
      </c>
      <c r="B30" s="284"/>
      <c r="C30" s="1012">
        <f>ROUND(SUM(C26)+SUM(C27)+SUM(C28)+SUM(C29),1)</f>
        <v>10454.4</v>
      </c>
      <c r="D30" s="1"/>
      <c r="E30" s="1012">
        <f>ROUND(SUM(E26)+SUM(E27)+SUM(E28)+SUM(E29),1)</f>
        <v>4049</v>
      </c>
      <c r="F30" s="1"/>
      <c r="G30" s="1012">
        <f>ROUND(SUM(G26)+SUM(G27)+SUM(G28)+SUM(G29),1)</f>
        <v>6382.8</v>
      </c>
      <c r="H30" s="62"/>
      <c r="I30" s="1012">
        <f>ROUND(SUM(I26)+SUM(I27)+SUM(I28)+SUM(I29),1)</f>
        <v>0</v>
      </c>
      <c r="J30" s="62"/>
      <c r="K30" s="1012">
        <f>ROUND(SUM(K26)+SUM(K27)+SUM(K28)+SUM(K29),1)</f>
        <v>0</v>
      </c>
      <c r="L30" s="62"/>
      <c r="M30" s="1012">
        <f>ROUND(SUM(M26)+SUM(M27)+SUM(M28)+SUM(M29),1)</f>
        <v>0</v>
      </c>
      <c r="N30" s="62"/>
      <c r="O30" s="1012">
        <f>ROUND(SUM(O26)+SUM(O27)+SUM(O28)+SUM(O29),1)</f>
        <v>0</v>
      </c>
      <c r="P30" s="62"/>
      <c r="Q30" s="1012">
        <f>ROUND(SUM(Q26)+SUM(Q27)+SUM(Q28)+SUM(Q29),1)</f>
        <v>0</v>
      </c>
      <c r="R30" s="62"/>
      <c r="S30" s="1012">
        <f>ROUND(SUM(S26)+SUM(S27)+SUM(S28)+SUM(S29),1)</f>
        <v>0</v>
      </c>
      <c r="T30" s="62"/>
      <c r="U30" s="1012">
        <f>ROUND(SUM(U26)+SUM(U27)+SUM(U28)+SUM(U29),1)</f>
        <v>0</v>
      </c>
      <c r="V30" s="62"/>
      <c r="W30" s="1012">
        <f>ROUND(SUM(W26)+SUM(W27)+SUM(W28)+SUM(W29),1)</f>
        <v>0</v>
      </c>
      <c r="X30" s="62"/>
      <c r="Y30" s="1012">
        <f>ROUND(SUM(Y26)+SUM(Y27)+SUM(Y28)+SUM(Y29),1)</f>
        <v>0</v>
      </c>
      <c r="Z30" s="62"/>
      <c r="AA30" s="390"/>
      <c r="AB30" s="1013">
        <f>ROUND(SUM(C30:Y30),1)</f>
        <v>20886.2</v>
      </c>
      <c r="AC30" s="62"/>
      <c r="AD30" s="858"/>
      <c r="AE30" s="1012">
        <f>ROUND(SUM(AE26)+SUM(AE27)+SUM(AE28)+SUM(AE29),1)</f>
        <v>19209.3</v>
      </c>
      <c r="AF30" s="1543"/>
      <c r="AG30" s="62"/>
      <c r="AH30" s="673">
        <f>ROUND(SUM(AH26+AH27+AH28-AH29),1)</f>
        <v>1676.9</v>
      </c>
      <c r="AI30" s="264"/>
      <c r="AJ30" s="982">
        <f t="shared" si="1"/>
        <v>8.6999999999999994E-2</v>
      </c>
      <c r="AK30" s="58" t="s">
        <v>103</v>
      </c>
    </row>
    <row r="31" spans="1:37" ht="16.5" customHeight="1">
      <c r="A31" s="412" t="s">
        <v>354</v>
      </c>
      <c r="B31" s="286"/>
      <c r="C31" s="253"/>
      <c r="D31" s="253"/>
      <c r="E31" s="253"/>
      <c r="F31" s="253"/>
      <c r="G31" s="253"/>
      <c r="H31" s="62"/>
      <c r="I31" s="253"/>
      <c r="J31" s="62"/>
      <c r="K31" s="253"/>
      <c r="L31" s="62"/>
      <c r="M31" s="253"/>
      <c r="N31" s="62"/>
      <c r="O31" s="253"/>
      <c r="P31" s="62"/>
      <c r="Q31" s="253"/>
      <c r="R31" s="62"/>
      <c r="S31" s="253"/>
      <c r="T31" s="62"/>
      <c r="U31" s="253"/>
      <c r="V31" s="62"/>
      <c r="W31" s="253"/>
      <c r="X31" s="62"/>
      <c r="Y31" s="253"/>
      <c r="Z31" s="62"/>
      <c r="AA31" s="390"/>
      <c r="AB31" s="62"/>
      <c r="AC31" s="62"/>
      <c r="AD31" s="858"/>
      <c r="AE31" s="192"/>
      <c r="AF31" s="1543"/>
      <c r="AG31" s="62"/>
      <c r="AH31" s="13"/>
      <c r="AI31" s="264"/>
      <c r="AJ31" s="74"/>
    </row>
    <row r="32" spans="1:37" ht="16.5" customHeight="1">
      <c r="A32" s="284" t="s">
        <v>355</v>
      </c>
      <c r="B32" s="286"/>
      <c r="C32" s="105">
        <f>+'Exhibit F'!D29+'Exhibit G'!D20+'Exhibit H'!B20</f>
        <v>1761.1</v>
      </c>
      <c r="D32" s="105"/>
      <c r="E32" s="105">
        <f>+'Exhibit F'!F29+'Exhibit G'!F20+'Exhibit H'!D20</f>
        <v>1735.8000000000002</v>
      </c>
      <c r="F32" s="105"/>
      <c r="G32" s="105">
        <f>+'Exhibit F'!H29+'Exhibit G'!H20+'Exhibit H'!F20</f>
        <v>2178.3000000000002</v>
      </c>
      <c r="H32" s="194"/>
      <c r="I32" s="105"/>
      <c r="J32" s="194"/>
      <c r="K32" s="105"/>
      <c r="L32" s="62"/>
      <c r="M32" s="105"/>
      <c r="N32" s="62"/>
      <c r="O32" s="105"/>
      <c r="P32" s="62"/>
      <c r="Q32" s="105"/>
      <c r="R32" s="105"/>
      <c r="S32" s="105"/>
      <c r="T32" s="105"/>
      <c r="U32" s="105"/>
      <c r="V32" s="105"/>
      <c r="W32" s="105"/>
      <c r="X32" s="105"/>
      <c r="Y32" s="105"/>
      <c r="Z32" s="62"/>
      <c r="AA32" s="390"/>
      <c r="AB32" s="194">
        <f t="shared" ref="AB32:AB41" si="2">ROUND(SUM(C32:Y32),1)</f>
        <v>5675.2</v>
      </c>
      <c r="AC32" s="62"/>
      <c r="AD32" s="858"/>
      <c r="AE32" s="105">
        <f>+'Exhibit F'!AF29+'Exhibit G'!AH20+'Exhibit H'!AD20</f>
        <v>5252.9</v>
      </c>
      <c r="AF32" s="1543"/>
      <c r="AG32" s="62"/>
      <c r="AH32" s="264">
        <f t="shared" ref="AH32:AH39" si="3">ROUND(SUM(+AB32-AE32),1)</f>
        <v>422.3</v>
      </c>
      <c r="AI32" s="264"/>
      <c r="AJ32" s="374">
        <f t="shared" ref="AJ32:AJ42" si="4">ROUND(IF(AE32=0,0,AH32/ABS(AE32)),3)</f>
        <v>0.08</v>
      </c>
    </row>
    <row r="33" spans="1:36" ht="16.5" customHeight="1">
      <c r="A33" s="284" t="s">
        <v>356</v>
      </c>
      <c r="B33" s="286"/>
      <c r="C33" s="105">
        <f>+'Exhibit F'!D30+'Exhibit G'!D21+'Exhibit I'!E18</f>
        <v>1.4</v>
      </c>
      <c r="D33" s="105"/>
      <c r="E33" s="105">
        <f>+'Exhibit F'!F30+'Exhibit G'!F21+'Exhibit I'!G18</f>
        <v>0</v>
      </c>
      <c r="F33" s="105"/>
      <c r="G33" s="105">
        <f>+'Exhibit F'!H30+'Exhibit G'!H21+'Exhibit I'!I18</f>
        <v>32.799999999999997</v>
      </c>
      <c r="H33" s="194"/>
      <c r="I33" s="105"/>
      <c r="J33" s="194"/>
      <c r="K33" s="105"/>
      <c r="L33" s="62"/>
      <c r="M33" s="105"/>
      <c r="N33" s="62"/>
      <c r="O33" s="105"/>
      <c r="P33" s="62"/>
      <c r="Q33" s="105"/>
      <c r="R33" s="105"/>
      <c r="S33" s="105"/>
      <c r="T33" s="105"/>
      <c r="U33" s="105"/>
      <c r="V33" s="105"/>
      <c r="W33" s="105"/>
      <c r="X33" s="105"/>
      <c r="Y33" s="105"/>
      <c r="Z33" s="62"/>
      <c r="AA33" s="390"/>
      <c r="AB33" s="194">
        <f>ROUND(SUM(C33:Y33),1)</f>
        <v>34.200000000000003</v>
      </c>
      <c r="AC33" s="62"/>
      <c r="AD33" s="858"/>
      <c r="AE33" s="105">
        <f>+'Exhibit F'!AF30+'Exhibit G'!AH21+'Exhibit I'!AI18</f>
        <v>42.6</v>
      </c>
      <c r="AF33" s="1543"/>
      <c r="AG33" s="62"/>
      <c r="AH33" s="264">
        <f t="shared" si="3"/>
        <v>-8.4</v>
      </c>
      <c r="AI33" s="264"/>
      <c r="AJ33" s="374">
        <f t="shared" si="4"/>
        <v>-0.19700000000000001</v>
      </c>
    </row>
    <row r="34" spans="1:36" ht="16.5" customHeight="1">
      <c r="A34" s="284" t="s">
        <v>357</v>
      </c>
      <c r="B34" s="284"/>
      <c r="C34" s="105">
        <f>+'Exhibit F'!D31+'Exhibit G'!D22</f>
        <v>75.89</v>
      </c>
      <c r="D34" s="105"/>
      <c r="E34" s="105">
        <f>+'Exhibit F'!F31+'Exhibit G'!F22</f>
        <v>55.31</v>
      </c>
      <c r="F34" s="105"/>
      <c r="G34" s="105">
        <f>+'Exhibit F'!H31+'Exhibit G'!H22</f>
        <v>70.2</v>
      </c>
      <c r="H34" s="194"/>
      <c r="I34" s="105"/>
      <c r="J34" s="194"/>
      <c r="K34" s="105"/>
      <c r="L34" s="62"/>
      <c r="M34" s="105"/>
      <c r="N34" s="62"/>
      <c r="O34" s="105"/>
      <c r="P34" s="62"/>
      <c r="Q34" s="105"/>
      <c r="R34" s="105"/>
      <c r="S34" s="105"/>
      <c r="T34" s="105"/>
      <c r="U34" s="105"/>
      <c r="V34" s="105"/>
      <c r="W34" s="105"/>
      <c r="X34" s="105"/>
      <c r="Y34" s="105"/>
      <c r="Z34" s="62"/>
      <c r="AA34" s="390"/>
      <c r="AB34" s="194">
        <f t="shared" si="2"/>
        <v>201.4</v>
      </c>
      <c r="AC34" s="62"/>
      <c r="AD34" s="858"/>
      <c r="AE34" s="105">
        <f>+'Exhibit F'!AF31+'Exhibit G'!AH22</f>
        <v>205.3</v>
      </c>
      <c r="AF34" s="1543"/>
      <c r="AG34" s="62"/>
      <c r="AH34" s="264">
        <f t="shared" si="3"/>
        <v>-3.9</v>
      </c>
      <c r="AI34" s="264"/>
      <c r="AJ34" s="374">
        <f t="shared" si="4"/>
        <v>-1.9E-2</v>
      </c>
    </row>
    <row r="35" spans="1:36" ht="16.5" customHeight="1">
      <c r="A35" s="284" t="s">
        <v>358</v>
      </c>
      <c r="B35" s="284"/>
      <c r="C35" s="105">
        <f>+'Exhibit G'!D23</f>
        <v>4.4000000000000004</v>
      </c>
      <c r="D35" s="105"/>
      <c r="E35" s="105">
        <f>+'Exhibit G'!F23</f>
        <v>1.5999999999999996</v>
      </c>
      <c r="F35" s="105"/>
      <c r="G35" s="105">
        <f>+'Exhibit G'!H23</f>
        <v>53.1</v>
      </c>
      <c r="H35" s="194"/>
      <c r="I35" s="105"/>
      <c r="J35" s="194"/>
      <c r="K35" s="105"/>
      <c r="L35" s="62"/>
      <c r="M35" s="105"/>
      <c r="N35" s="62"/>
      <c r="O35" s="105"/>
      <c r="P35" s="62"/>
      <c r="Q35" s="105"/>
      <c r="R35" s="105"/>
      <c r="S35" s="105"/>
      <c r="T35" s="105"/>
      <c r="U35" s="105"/>
      <c r="V35" s="105"/>
      <c r="W35" s="105"/>
      <c r="X35" s="105"/>
      <c r="Y35" s="105"/>
      <c r="Z35" s="62"/>
      <c r="AA35" s="390"/>
      <c r="AB35" s="194">
        <f>ROUND(SUM(C35:Y35),1)</f>
        <v>59.1</v>
      </c>
      <c r="AC35" s="62"/>
      <c r="AD35" s="858"/>
      <c r="AE35" s="105">
        <f>'Exhibit G'!AH23</f>
        <v>36.299999999999997</v>
      </c>
      <c r="AF35" s="1543"/>
      <c r="AG35" s="62"/>
      <c r="AH35" s="264">
        <f>ROUND(SUM(+AB35-AE35),1)</f>
        <v>22.8</v>
      </c>
      <c r="AI35" s="264"/>
      <c r="AJ35" s="374">
        <f>ROUND(IF(AE35=0,0,AH35/ABS(AE35)),3)</f>
        <v>0.628</v>
      </c>
    </row>
    <row r="36" spans="1:36" ht="16.5" customHeight="1">
      <c r="A36" s="284" t="s">
        <v>359</v>
      </c>
      <c r="B36" s="284"/>
      <c r="C36" s="105">
        <f>+'Exhibit F'!D32+'Exhibit G'!D24+'Exhibit I'!E19</f>
        <v>36.9</v>
      </c>
      <c r="D36" s="105"/>
      <c r="E36" s="105">
        <f>+'Exhibit F'!F32+'Exhibit G'!F24+'Exhibit I'!G19</f>
        <v>40.700000000000003</v>
      </c>
      <c r="F36" s="105"/>
      <c r="G36" s="105">
        <f>+'Exhibit F'!H32+'Exhibit G'!H24+'Exhibit I'!I19</f>
        <v>43.800000000000004</v>
      </c>
      <c r="H36" s="194"/>
      <c r="I36" s="105"/>
      <c r="J36" s="194"/>
      <c r="K36" s="105"/>
      <c r="L36" s="62"/>
      <c r="M36" s="105"/>
      <c r="N36" s="62"/>
      <c r="O36" s="105"/>
      <c r="P36" s="62"/>
      <c r="Q36" s="105"/>
      <c r="R36" s="105"/>
      <c r="S36" s="105"/>
      <c r="T36" s="105"/>
      <c r="U36" s="105"/>
      <c r="V36" s="105"/>
      <c r="W36" s="105"/>
      <c r="X36" s="105"/>
      <c r="Y36" s="105"/>
      <c r="Z36" s="62"/>
      <c r="AA36" s="390"/>
      <c r="AB36" s="194">
        <f t="shared" si="2"/>
        <v>121.4</v>
      </c>
      <c r="AC36" s="62"/>
      <c r="AD36" s="858"/>
      <c r="AE36" s="105">
        <f>+'Exhibit F'!AF32+'Exhibit G'!AH24+'Exhibit I'!AI19</f>
        <v>120.80000000000001</v>
      </c>
      <c r="AF36" s="1543"/>
      <c r="AG36" s="62"/>
      <c r="AH36" s="264">
        <f t="shared" si="3"/>
        <v>0.6</v>
      </c>
      <c r="AI36" s="264"/>
      <c r="AJ36" s="374">
        <f t="shared" si="4"/>
        <v>5.0000000000000001E-3</v>
      </c>
    </row>
    <row r="37" spans="1:36" ht="16.5" customHeight="1">
      <c r="A37" s="421" t="s">
        <v>360</v>
      </c>
      <c r="B37" s="284"/>
      <c r="C37" s="105">
        <f>+'Exhibit F'!D33+'Exhibit G'!D25</f>
        <v>-0.4</v>
      </c>
      <c r="D37" s="105"/>
      <c r="E37" s="105">
        <f>+'Exhibit F'!F33+'Exhibit G'!F25</f>
        <v>0</v>
      </c>
      <c r="F37" s="105"/>
      <c r="G37" s="105">
        <f>+'Exhibit F'!H33+'Exhibit G'!H25</f>
        <v>0.10000000000000003</v>
      </c>
      <c r="H37" s="194"/>
      <c r="I37" s="105"/>
      <c r="J37" s="194"/>
      <c r="K37" s="105"/>
      <c r="L37" s="62"/>
      <c r="M37" s="105"/>
      <c r="N37" s="62"/>
      <c r="O37" s="105"/>
      <c r="P37" s="62"/>
      <c r="Q37" s="105"/>
      <c r="R37" s="105"/>
      <c r="S37" s="105"/>
      <c r="T37" s="105"/>
      <c r="U37" s="105"/>
      <c r="V37" s="105"/>
      <c r="W37" s="105"/>
      <c r="X37" s="105"/>
      <c r="Y37" s="105"/>
      <c r="Z37" s="62"/>
      <c r="AA37" s="390"/>
      <c r="AB37" s="194">
        <f t="shared" ref="AB37" si="5">ROUND(SUM(C37:Y37),1)</f>
        <v>-0.3</v>
      </c>
      <c r="AC37" s="62"/>
      <c r="AD37" s="858"/>
      <c r="AE37" s="105">
        <f>+'Exhibit F'!AF33+'Exhibit G'!AH25</f>
        <v>0.30000000000000004</v>
      </c>
      <c r="AF37" s="1543"/>
      <c r="AG37" s="62"/>
      <c r="AH37" s="264">
        <f t="shared" si="3"/>
        <v>-0.6</v>
      </c>
      <c r="AI37" s="264"/>
      <c r="AJ37" s="374">
        <f>ROUND(IF(AE37=0,1,AH37/ABS(AE37)),3)</f>
        <v>-2</v>
      </c>
    </row>
    <row r="38" spans="1:36" ht="16.5" customHeight="1">
      <c r="A38" s="284" t="s">
        <v>361</v>
      </c>
      <c r="B38" s="284"/>
      <c r="C38" s="105">
        <f>+'Exhibit F'!D34+'Exhibit G'!D26</f>
        <v>22.1</v>
      </c>
      <c r="D38" s="105"/>
      <c r="E38" s="105">
        <f>+'Exhibit F'!F34+'Exhibit G'!F26</f>
        <v>22.1</v>
      </c>
      <c r="F38" s="105"/>
      <c r="G38" s="105">
        <f>+'Exhibit F'!H34+'Exhibit G'!H26</f>
        <v>23.700000000000003</v>
      </c>
      <c r="H38" s="194"/>
      <c r="I38" s="105"/>
      <c r="J38" s="194"/>
      <c r="K38" s="105"/>
      <c r="L38" s="62"/>
      <c r="M38" s="105"/>
      <c r="N38" s="62"/>
      <c r="O38" s="105"/>
      <c r="P38" s="62"/>
      <c r="Q38" s="105"/>
      <c r="R38" s="105"/>
      <c r="S38" s="105"/>
      <c r="T38" s="105"/>
      <c r="U38" s="105"/>
      <c r="V38" s="105"/>
      <c r="W38" s="105"/>
      <c r="X38" s="105"/>
      <c r="Y38" s="105"/>
      <c r="Z38" s="62"/>
      <c r="AA38" s="390"/>
      <c r="AB38" s="194">
        <f t="shared" si="2"/>
        <v>67.900000000000006</v>
      </c>
      <c r="AC38" s="62"/>
      <c r="AD38" s="858"/>
      <c r="AE38" s="105">
        <f>+'Exhibit F'!AF34+'Exhibit G'!AH26</f>
        <v>65.5</v>
      </c>
      <c r="AF38" s="1543"/>
      <c r="AG38" s="62"/>
      <c r="AH38" s="264">
        <f t="shared" si="3"/>
        <v>2.4</v>
      </c>
      <c r="AI38" s="264"/>
      <c r="AJ38" s="374">
        <f t="shared" si="4"/>
        <v>3.6999999999999998E-2</v>
      </c>
    </row>
    <row r="39" spans="1:36" ht="16.5" customHeight="1">
      <c r="A39" s="284" t="s">
        <v>362</v>
      </c>
      <c r="B39" s="284"/>
      <c r="C39" s="105">
        <f>+'Exhibit F'!D35+'Exhibit G'!D27+'Exhibit I'!E20</f>
        <v>13.4</v>
      </c>
      <c r="D39" s="105"/>
      <c r="E39" s="105">
        <f>+'Exhibit F'!F35+'Exhibit G'!F27+'Exhibit I'!G20</f>
        <v>9</v>
      </c>
      <c r="F39" s="105"/>
      <c r="G39" s="105">
        <f>+'Exhibit F'!H35+'Exhibit G'!H27+'Exhibit I'!I20</f>
        <v>9.1</v>
      </c>
      <c r="H39" s="194"/>
      <c r="I39" s="105"/>
      <c r="J39" s="194"/>
      <c r="K39" s="105"/>
      <c r="L39" s="62"/>
      <c r="M39" s="105"/>
      <c r="N39" s="62"/>
      <c r="O39" s="105"/>
      <c r="P39" s="62"/>
      <c r="Q39" s="105"/>
      <c r="R39" s="105"/>
      <c r="S39" s="105"/>
      <c r="T39" s="105"/>
      <c r="U39" s="105"/>
      <c r="V39" s="105"/>
      <c r="W39" s="105"/>
      <c r="X39" s="105"/>
      <c r="Y39" s="105"/>
      <c r="Z39" s="62"/>
      <c r="AA39" s="390"/>
      <c r="AB39" s="194">
        <f t="shared" si="2"/>
        <v>31.5</v>
      </c>
      <c r="AC39" s="62"/>
      <c r="AD39" s="858"/>
      <c r="AE39" s="105">
        <f>+'Exhibit F'!AF35+'Exhibit G'!AH27+'Exhibit I'!AI20</f>
        <v>33.900000000000006</v>
      </c>
      <c r="AF39" s="1543"/>
      <c r="AG39" s="62"/>
      <c r="AH39" s="264">
        <f t="shared" si="3"/>
        <v>-2.4</v>
      </c>
      <c r="AI39" s="264"/>
      <c r="AJ39" s="859">
        <f t="shared" si="4"/>
        <v>-7.0999999999999994E-2</v>
      </c>
    </row>
    <row r="40" spans="1:36" ht="16.5" customHeight="1">
      <c r="A40" s="284" t="s">
        <v>363</v>
      </c>
      <c r="B40" s="284"/>
      <c r="C40" s="105">
        <f>'Exhibit F'!D36+'Exhibit G'!D28</f>
        <v>0.3</v>
      </c>
      <c r="D40" s="105"/>
      <c r="E40" s="105">
        <f>'Exhibit F'!F36+'Exhibit G'!F28</f>
        <v>0</v>
      </c>
      <c r="F40" s="105"/>
      <c r="G40" s="105">
        <f>'Exhibit F'!H36+'Exhibit G'!H28</f>
        <v>4.6000000000000005</v>
      </c>
      <c r="H40" s="194"/>
      <c r="I40" s="105"/>
      <c r="J40" s="194"/>
      <c r="K40" s="105"/>
      <c r="L40" s="62"/>
      <c r="M40" s="105"/>
      <c r="N40" s="62"/>
      <c r="O40" s="105"/>
      <c r="P40" s="62"/>
      <c r="Q40" s="105"/>
      <c r="R40" s="105"/>
      <c r="S40" s="105"/>
      <c r="T40" s="105"/>
      <c r="U40" s="105"/>
      <c r="V40" s="105"/>
      <c r="W40" s="105"/>
      <c r="X40" s="105"/>
      <c r="Y40" s="105"/>
      <c r="Z40" s="62"/>
      <c r="AA40" s="390"/>
      <c r="AB40" s="194">
        <f>ROUND(SUM(C40:Y40),1)</f>
        <v>4.9000000000000004</v>
      </c>
      <c r="AC40" s="62"/>
      <c r="AD40" s="858"/>
      <c r="AE40" s="105">
        <f>+'Exhibit F'!AF36+'Exhibit G'!AH28</f>
        <v>5</v>
      </c>
      <c r="AF40" s="1543"/>
      <c r="AG40" s="62"/>
      <c r="AH40" s="264">
        <f>ROUND(SUM(+AB40-AE40),1)</f>
        <v>-0.1</v>
      </c>
      <c r="AI40" s="264"/>
      <c r="AJ40" s="859">
        <f>ROUND(IF(AE40=0,1,AH40/ABS(AE40)),3)</f>
        <v>-0.02</v>
      </c>
    </row>
    <row r="41" spans="1:36" ht="16.5" customHeight="1">
      <c r="A41" s="284" t="s">
        <v>364</v>
      </c>
      <c r="B41" s="284"/>
      <c r="C41" s="105">
        <f>'Exhibit F'!D37</f>
        <v>4.5999999999999996</v>
      </c>
      <c r="D41" s="105"/>
      <c r="E41" s="105">
        <f>'Exhibit F'!F37</f>
        <v>0</v>
      </c>
      <c r="F41" s="105"/>
      <c r="G41" s="105">
        <f>'Exhibit F'!H37</f>
        <v>0</v>
      </c>
      <c r="H41" s="194"/>
      <c r="I41" s="105"/>
      <c r="J41" s="194"/>
      <c r="K41" s="105"/>
      <c r="L41" s="62"/>
      <c r="M41" s="105"/>
      <c r="N41" s="62"/>
      <c r="O41" s="105"/>
      <c r="P41" s="62"/>
      <c r="Q41" s="105"/>
      <c r="R41" s="105"/>
      <c r="S41" s="105"/>
      <c r="T41" s="105"/>
      <c r="U41" s="105"/>
      <c r="V41" s="105"/>
      <c r="W41" s="105"/>
      <c r="X41" s="105"/>
      <c r="Y41" s="105"/>
      <c r="Z41" s="62"/>
      <c r="AA41" s="193"/>
      <c r="AB41" s="194">
        <f t="shared" si="2"/>
        <v>4.5999999999999996</v>
      </c>
      <c r="AC41" s="62"/>
      <c r="AD41" s="858"/>
      <c r="AE41" s="105">
        <f>+'Exhibit F'!AF37</f>
        <v>4.9000000000000004</v>
      </c>
      <c r="AF41" s="1543"/>
      <c r="AG41" s="62"/>
      <c r="AH41" s="264">
        <f t="shared" ref="AH41" si="6">ROUND(SUM(+AB41-AE41),1)</f>
        <v>-0.3</v>
      </c>
      <c r="AI41" s="264"/>
      <c r="AJ41" s="859">
        <f>ROUND(IF(AE41=0,1,AH41/ABS(AE41)),3)</f>
        <v>-6.0999999999999999E-2</v>
      </c>
    </row>
    <row r="42" spans="1:36" ht="16.5" customHeight="1">
      <c r="A42" s="83" t="s">
        <v>365</v>
      </c>
      <c r="B42" s="284"/>
      <c r="C42" s="1012">
        <f>ROUND(SUM(C32:C41),1)</f>
        <v>1919.7</v>
      </c>
      <c r="D42" s="1"/>
      <c r="E42" s="1012">
        <f>ROUND(SUM(E32:E41),1)</f>
        <v>1864.5</v>
      </c>
      <c r="F42" s="1"/>
      <c r="G42" s="1012">
        <f>ROUND(SUM(G32:G41),1)</f>
        <v>2415.6999999999998</v>
      </c>
      <c r="H42" s="62"/>
      <c r="I42" s="1012">
        <f>ROUND(SUM(I32:I41),1)</f>
        <v>0</v>
      </c>
      <c r="J42" s="62"/>
      <c r="K42" s="1012">
        <f>ROUND(SUM(K32:K41),1)</f>
        <v>0</v>
      </c>
      <c r="L42" s="62"/>
      <c r="M42" s="1012">
        <f>ROUND(SUM(M32:M41),1)</f>
        <v>0</v>
      </c>
      <c r="N42" s="62"/>
      <c r="O42" s="1012">
        <f>ROUND(SUM(O32:O41),1)</f>
        <v>0</v>
      </c>
      <c r="P42" s="62"/>
      <c r="Q42" s="1012">
        <f>ROUND(SUM(Q32:Q41),1)</f>
        <v>0</v>
      </c>
      <c r="R42" s="62"/>
      <c r="S42" s="1012">
        <f>ROUND(SUM(S32:S41),1)</f>
        <v>0</v>
      </c>
      <c r="T42" s="62"/>
      <c r="U42" s="1012">
        <f>ROUND(SUM(U32:U41),1)</f>
        <v>0</v>
      </c>
      <c r="V42" s="62"/>
      <c r="W42" s="1012">
        <f>ROUND(SUM(W32:W41),1)</f>
        <v>0</v>
      </c>
      <c r="X42" s="62"/>
      <c r="Y42" s="1012">
        <f>ROUND(SUM(Y32:Y41),1)</f>
        <v>0</v>
      </c>
      <c r="Z42" s="62"/>
      <c r="AA42" s="390"/>
      <c r="AB42" s="1012">
        <f>ROUND(SUM(AB32:AB41),1)</f>
        <v>6199.9</v>
      </c>
      <c r="AC42" s="62"/>
      <c r="AD42" s="858"/>
      <c r="AE42" s="1012">
        <f>ROUND(SUM(AE32:AE41),1)</f>
        <v>5767.5</v>
      </c>
      <c r="AF42" s="1543"/>
      <c r="AG42" s="62"/>
      <c r="AH42" s="673">
        <f>ROUND(SUM(AH32:AH41),1)</f>
        <v>432.4</v>
      </c>
      <c r="AI42" s="13"/>
      <c r="AJ42" s="1014">
        <f t="shared" si="4"/>
        <v>7.4999999999999997E-2</v>
      </c>
    </row>
    <row r="43" spans="1:36" ht="16.5" customHeight="1">
      <c r="A43" s="412" t="s">
        <v>366</v>
      </c>
      <c r="B43" s="284"/>
      <c r="C43" s="253"/>
      <c r="D43" s="253"/>
      <c r="E43" s="253"/>
      <c r="F43" s="253"/>
      <c r="G43" s="253"/>
      <c r="H43" s="62"/>
      <c r="I43" s="253"/>
      <c r="J43" s="62"/>
      <c r="K43" s="253"/>
      <c r="L43" s="62"/>
      <c r="M43" s="253"/>
      <c r="N43" s="62"/>
      <c r="O43" s="253"/>
      <c r="P43" s="62"/>
      <c r="Q43" s="253"/>
      <c r="R43" s="62"/>
      <c r="S43" s="253"/>
      <c r="T43" s="62"/>
      <c r="U43" s="253"/>
      <c r="V43" s="62"/>
      <c r="W43" s="253"/>
      <c r="X43" s="62"/>
      <c r="Y43" s="253"/>
      <c r="Z43" s="62"/>
      <c r="AA43" s="390"/>
      <c r="AB43" s="62"/>
      <c r="AC43" s="62"/>
      <c r="AD43" s="858"/>
      <c r="AE43" s="192"/>
      <c r="AF43" s="1543"/>
      <c r="AG43" s="62"/>
      <c r="AH43" s="13"/>
      <c r="AI43" s="13"/>
      <c r="AJ43" s="74"/>
    </row>
    <row r="44" spans="1:36" ht="16.5" customHeight="1">
      <c r="A44" s="284" t="s">
        <v>367</v>
      </c>
      <c r="B44" s="284"/>
      <c r="C44" s="105">
        <f>+'Exhibit F'!D40+'Exhibit G'!D31+'Exhibit I'!E23</f>
        <v>1054.3</v>
      </c>
      <c r="D44" s="105"/>
      <c r="E44" s="105">
        <f>+'Exhibit F'!F40+'Exhibit G'!F31+'Exhibit I'!G23</f>
        <v>170.40000000000003</v>
      </c>
      <c r="F44" s="105"/>
      <c r="G44" s="105">
        <f>+'Exhibit F'!H40+'Exhibit G'!H31+'Exhibit I'!I23</f>
        <v>2301.7000000000003</v>
      </c>
      <c r="H44" s="194"/>
      <c r="I44" s="105"/>
      <c r="J44" s="194"/>
      <c r="K44" s="105"/>
      <c r="L44" s="62"/>
      <c r="M44" s="105"/>
      <c r="N44" s="62"/>
      <c r="O44" s="105"/>
      <c r="P44" s="62"/>
      <c r="Q44" s="105"/>
      <c r="R44" s="105"/>
      <c r="S44" s="105"/>
      <c r="T44" s="105"/>
      <c r="U44" s="105"/>
      <c r="V44" s="105"/>
      <c r="W44" s="105"/>
      <c r="X44" s="105"/>
      <c r="Y44" s="105"/>
      <c r="Z44" s="62"/>
      <c r="AA44" s="390"/>
      <c r="AB44" s="194">
        <f t="shared" ref="AB44:AB49" si="7">ROUND(SUM(C44:Y44),1)</f>
        <v>3526.4</v>
      </c>
      <c r="AC44" s="62"/>
      <c r="AD44" s="858"/>
      <c r="AE44" s="105">
        <f>+'Exhibit F'!AF40+'Exhibit G'!AH31+'Exhibit I'!AI23</f>
        <v>2617.5</v>
      </c>
      <c r="AF44" s="1543"/>
      <c r="AG44" s="62"/>
      <c r="AH44" s="264">
        <f t="shared" ref="AH44:AH49" si="8">ROUND(SUM(+AB44-AE44),1)</f>
        <v>908.9</v>
      </c>
      <c r="AI44" s="13"/>
      <c r="AJ44" s="374">
        <f t="shared" ref="AJ44:AJ50" si="9">ROUND(IF(AE44=0,0,AH44/ABS(AE44)),3)</f>
        <v>0.34699999999999998</v>
      </c>
    </row>
    <row r="45" spans="1:36" ht="16.5" customHeight="1">
      <c r="A45" s="284" t="s">
        <v>368</v>
      </c>
      <c r="B45" s="284"/>
      <c r="C45" s="105">
        <f>+'Exhibit F'!D41+'Exhibit G'!D32+'Exhibit I'!E24</f>
        <v>45.2</v>
      </c>
      <c r="D45" s="105"/>
      <c r="E45" s="105">
        <f>+'Exhibit F'!F41+'Exhibit G'!F32+'Exhibit I'!G24</f>
        <v>0.49999999999999956</v>
      </c>
      <c r="F45" s="105"/>
      <c r="G45" s="105">
        <f>+'Exhibit F'!H41+'Exhibit G'!H32+'Exhibit I'!I24</f>
        <v>125.30000000000003</v>
      </c>
      <c r="H45" s="194"/>
      <c r="I45" s="105"/>
      <c r="J45" s="194"/>
      <c r="K45" s="105"/>
      <c r="L45" s="62"/>
      <c r="M45" s="105"/>
      <c r="N45" s="62"/>
      <c r="O45" s="105"/>
      <c r="P45" s="62"/>
      <c r="Q45" s="105"/>
      <c r="R45" s="105"/>
      <c r="S45" s="105"/>
      <c r="T45" s="105"/>
      <c r="U45" s="105"/>
      <c r="V45" s="105"/>
      <c r="W45" s="105"/>
      <c r="X45" s="105"/>
      <c r="Y45" s="105"/>
      <c r="Z45" s="62"/>
      <c r="AA45" s="390"/>
      <c r="AB45" s="194">
        <f t="shared" si="7"/>
        <v>171</v>
      </c>
      <c r="AC45" s="62"/>
      <c r="AD45" s="858"/>
      <c r="AE45" s="105">
        <f>+'Exhibit F'!AF41+'Exhibit G'!AH32+'Exhibit I'!AI24</f>
        <v>133.70000000000002</v>
      </c>
      <c r="AF45" s="1543"/>
      <c r="AG45" s="62"/>
      <c r="AH45" s="264">
        <f t="shared" si="8"/>
        <v>37.299999999999997</v>
      </c>
      <c r="AI45" s="13"/>
      <c r="AJ45" s="859">
        <f t="shared" si="9"/>
        <v>0.27900000000000003</v>
      </c>
    </row>
    <row r="46" spans="1:36" ht="16.5" customHeight="1">
      <c r="A46" s="284" t="s">
        <v>369</v>
      </c>
      <c r="B46" s="284"/>
      <c r="C46" s="105">
        <f>+'Exhibit F'!D42+'Exhibit G'!D33</f>
        <v>85.7</v>
      </c>
      <c r="D46" s="105"/>
      <c r="E46" s="105">
        <f>+'Exhibit F'!F42+'Exhibit G'!F33</f>
        <v>38</v>
      </c>
      <c r="F46" s="105"/>
      <c r="G46" s="105">
        <f>+'Exhibit F'!H42+'Exhibit G'!H33</f>
        <v>462.6</v>
      </c>
      <c r="H46" s="194"/>
      <c r="I46" s="105"/>
      <c r="J46" s="194"/>
      <c r="K46" s="105"/>
      <c r="L46" s="62"/>
      <c r="M46" s="105"/>
      <c r="N46" s="62"/>
      <c r="O46" s="105"/>
      <c r="P46" s="62"/>
      <c r="Q46" s="105"/>
      <c r="R46" s="105"/>
      <c r="S46" s="105"/>
      <c r="T46" s="105"/>
      <c r="U46" s="105"/>
      <c r="V46" s="105"/>
      <c r="W46" s="105"/>
      <c r="X46" s="105"/>
      <c r="Y46" s="105"/>
      <c r="Z46" s="62"/>
      <c r="AA46" s="390"/>
      <c r="AB46" s="194">
        <f t="shared" si="7"/>
        <v>586.29999999999995</v>
      </c>
      <c r="AC46" s="62"/>
      <c r="AD46" s="858"/>
      <c r="AE46" s="105">
        <f>+'Exhibit F'!AF42+'Exhibit G'!AH33</f>
        <v>573.40000000000009</v>
      </c>
      <c r="AF46" s="1543"/>
      <c r="AG46" s="62"/>
      <c r="AH46" s="264">
        <f t="shared" si="8"/>
        <v>12.9</v>
      </c>
      <c r="AI46" s="13"/>
      <c r="AJ46" s="374">
        <f t="shared" si="9"/>
        <v>2.1999999999999999E-2</v>
      </c>
    </row>
    <row r="47" spans="1:36" ht="16.5" customHeight="1">
      <c r="A47" s="284" t="s">
        <v>370</v>
      </c>
      <c r="B47" s="284"/>
      <c r="C47" s="105">
        <f>+'Exhibit F'!D43+'Exhibit G'!D34</f>
        <v>21.9</v>
      </c>
      <c r="D47" s="105"/>
      <c r="E47" s="105">
        <f>+'Exhibit F'!F43+'Exhibit G'!F34</f>
        <v>0</v>
      </c>
      <c r="F47" s="105"/>
      <c r="G47" s="105">
        <f>+'Exhibit F'!H43+'Exhibit G'!H34</f>
        <v>0</v>
      </c>
      <c r="H47" s="194"/>
      <c r="I47" s="105"/>
      <c r="J47" s="194"/>
      <c r="K47" s="105"/>
      <c r="L47" s="62"/>
      <c r="M47" s="105"/>
      <c r="N47" s="62"/>
      <c r="O47" s="105"/>
      <c r="P47" s="62"/>
      <c r="Q47" s="105"/>
      <c r="R47" s="105"/>
      <c r="S47" s="105"/>
      <c r="T47" s="105"/>
      <c r="U47" s="105"/>
      <c r="V47" s="105"/>
      <c r="W47" s="105"/>
      <c r="X47" s="105"/>
      <c r="Y47" s="105"/>
      <c r="Z47" s="62"/>
      <c r="AA47" s="390"/>
      <c r="AB47" s="194">
        <f t="shared" si="7"/>
        <v>21.9</v>
      </c>
      <c r="AC47" s="62"/>
      <c r="AD47" s="858"/>
      <c r="AE47" s="105">
        <f>+'Exhibit F'!AF43+'Exhibit G'!AH34</f>
        <v>-4.5999999999999996</v>
      </c>
      <c r="AF47" s="1543"/>
      <c r="AG47" s="62"/>
      <c r="AH47" s="264">
        <f t="shared" si="8"/>
        <v>26.5</v>
      </c>
      <c r="AI47" s="13"/>
      <c r="AJ47" s="542">
        <f>ROUND(IF(AE47=0,1,AH47/ABS(AE47)),3)</f>
        <v>5.7610000000000001</v>
      </c>
    </row>
    <row r="48" spans="1:36" ht="16.5" customHeight="1">
      <c r="A48" s="284" t="s">
        <v>371</v>
      </c>
      <c r="B48" s="284"/>
      <c r="C48" s="105">
        <f>+'Exhibit F'!D44+'Exhibit H'!B23</f>
        <v>48.8</v>
      </c>
      <c r="D48" s="105"/>
      <c r="E48" s="105">
        <f>+'Exhibit F'!F44+'Exhibit H'!D23</f>
        <v>236.2</v>
      </c>
      <c r="F48" s="105"/>
      <c r="G48" s="105">
        <f>+'Exhibit F'!H44+'Exhibit H'!F23</f>
        <v>4585.8999999999996</v>
      </c>
      <c r="H48" s="194"/>
      <c r="I48" s="105"/>
      <c r="J48" s="194"/>
      <c r="K48" s="105"/>
      <c r="L48" s="62"/>
      <c r="M48" s="105"/>
      <c r="N48" s="62"/>
      <c r="O48" s="105"/>
      <c r="P48" s="62"/>
      <c r="Q48" s="105"/>
      <c r="R48" s="105"/>
      <c r="S48" s="105"/>
      <c r="T48" s="105"/>
      <c r="U48" s="105"/>
      <c r="V48" s="105"/>
      <c r="W48" s="105"/>
      <c r="X48" s="105"/>
      <c r="Y48" s="105"/>
      <c r="Z48" s="62"/>
      <c r="AA48" s="390"/>
      <c r="AB48" s="194">
        <f t="shared" si="7"/>
        <v>4870.8999999999996</v>
      </c>
      <c r="AC48" s="62"/>
      <c r="AD48" s="858"/>
      <c r="AE48" s="105">
        <f>+'Exhibit F'!AF44+'Exhibit H'!AD23</f>
        <v>3938.8</v>
      </c>
      <c r="AF48" s="1543"/>
      <c r="AG48" s="62"/>
      <c r="AH48" s="264">
        <f t="shared" si="8"/>
        <v>932.1</v>
      </c>
      <c r="AI48" s="13"/>
      <c r="AJ48" s="542">
        <f>ROUND(IF(AE48=0,1,AH48/ABS(AE48)),3)</f>
        <v>0.23699999999999999</v>
      </c>
    </row>
    <row r="49" spans="1:36" ht="16.5" customHeight="1">
      <c r="A49" s="284" t="s">
        <v>372</v>
      </c>
      <c r="B49" s="284"/>
      <c r="C49" s="105">
        <f>+'Exhibit F'!D45+'Exhibit G'!D35+'Exhibit I'!E25</f>
        <v>74.599999999999994</v>
      </c>
      <c r="D49" s="105"/>
      <c r="E49" s="105">
        <f>+'Exhibit F'!F45+'Exhibit G'!F35+'Exhibit I'!G25</f>
        <v>78.400000000000006</v>
      </c>
      <c r="F49" s="105"/>
      <c r="G49" s="105">
        <f>+'Exhibit F'!H45+'Exhibit G'!H35+'Exhibit I'!I25</f>
        <v>89.300000000000011</v>
      </c>
      <c r="H49" s="194"/>
      <c r="I49" s="105"/>
      <c r="J49" s="194"/>
      <c r="K49" s="105"/>
      <c r="L49" s="62"/>
      <c r="M49" s="105"/>
      <c r="N49" s="62"/>
      <c r="O49" s="105"/>
      <c r="P49" s="62"/>
      <c r="Q49" s="105"/>
      <c r="R49" s="105"/>
      <c r="S49" s="105"/>
      <c r="T49" s="105"/>
      <c r="U49" s="105"/>
      <c r="V49" s="105"/>
      <c r="W49" s="105"/>
      <c r="X49" s="105"/>
      <c r="Y49" s="105"/>
      <c r="Z49" s="62"/>
      <c r="AA49" s="390"/>
      <c r="AB49" s="194">
        <f t="shared" si="7"/>
        <v>242.3</v>
      </c>
      <c r="AC49" s="62"/>
      <c r="AD49" s="858"/>
      <c r="AE49" s="105">
        <f>+'Exhibit F'!AF45+'Exhibit G'!AH35+'Exhibit I'!AI25</f>
        <v>256.39999999999998</v>
      </c>
      <c r="AF49" s="1543"/>
      <c r="AG49" s="62"/>
      <c r="AH49" s="264">
        <f t="shared" si="8"/>
        <v>-14.1</v>
      </c>
      <c r="AI49" s="13"/>
      <c r="AJ49" s="374">
        <f t="shared" si="9"/>
        <v>-5.5E-2</v>
      </c>
    </row>
    <row r="50" spans="1:36" ht="16.5" customHeight="1">
      <c r="A50" s="83" t="s">
        <v>373</v>
      </c>
      <c r="B50" s="284"/>
      <c r="C50" s="1012">
        <f>ROUND(SUM(C44:C49),1)</f>
        <v>1330.5</v>
      </c>
      <c r="D50" s="1"/>
      <c r="E50" s="1012">
        <f>ROUND(SUM(E44:E49),1)</f>
        <v>523.5</v>
      </c>
      <c r="F50" s="1"/>
      <c r="G50" s="1012">
        <f>ROUND(SUM(G44:G49),1)</f>
        <v>7564.8</v>
      </c>
      <c r="H50" s="62"/>
      <c r="I50" s="1012">
        <f>ROUND(SUM(I44:I49),1)</f>
        <v>0</v>
      </c>
      <c r="J50" s="62"/>
      <c r="K50" s="1012">
        <f>ROUND(SUM(K44:K49),1)</f>
        <v>0</v>
      </c>
      <c r="L50" s="62"/>
      <c r="M50" s="1012">
        <f>ROUND(SUM(M44:M49),1)</f>
        <v>0</v>
      </c>
      <c r="N50" s="62"/>
      <c r="O50" s="1012">
        <f>ROUND(SUM(O44:O49),1)</f>
        <v>0</v>
      </c>
      <c r="P50" s="62"/>
      <c r="Q50" s="1012">
        <f>ROUND(SUM(Q44:Q49),1)</f>
        <v>0</v>
      </c>
      <c r="R50" s="62"/>
      <c r="S50" s="1012">
        <f>ROUND(SUM(S44:S49),1)</f>
        <v>0</v>
      </c>
      <c r="T50" s="62"/>
      <c r="U50" s="1012">
        <f>ROUND(SUM(U44:U49),1)</f>
        <v>0</v>
      </c>
      <c r="V50" s="62"/>
      <c r="W50" s="1012">
        <f>ROUND(SUM(W44:W49),1)</f>
        <v>0</v>
      </c>
      <c r="X50" s="62"/>
      <c r="Y50" s="1012">
        <f>ROUND(SUM(Y44:Y49),1)</f>
        <v>0</v>
      </c>
      <c r="Z50" s="62"/>
      <c r="AA50" s="390"/>
      <c r="AB50" s="1012">
        <f>ROUND(SUM(AB44:AB49),1)</f>
        <v>9418.7999999999993</v>
      </c>
      <c r="AC50" s="62"/>
      <c r="AD50" s="858"/>
      <c r="AE50" s="1012">
        <f>ROUND(SUM(AE44:AE49),1)</f>
        <v>7515.2</v>
      </c>
      <c r="AF50" s="1543"/>
      <c r="AG50" s="62"/>
      <c r="AH50" s="1012">
        <f>ROUND(SUM(AH44:AH49),1)</f>
        <v>1903.6</v>
      </c>
      <c r="AI50" s="13"/>
      <c r="AJ50" s="1014">
        <f t="shared" si="9"/>
        <v>0.253</v>
      </c>
    </row>
    <row r="51" spans="1:36" ht="16.5" customHeight="1">
      <c r="A51" s="412" t="s">
        <v>374</v>
      </c>
      <c r="B51" s="284"/>
      <c r="C51" s="253"/>
      <c r="D51" s="253"/>
      <c r="E51" s="253"/>
      <c r="F51" s="253"/>
      <c r="G51" s="253"/>
      <c r="H51" s="62"/>
      <c r="I51" s="253"/>
      <c r="J51" s="62"/>
      <c r="K51" s="253"/>
      <c r="L51" s="62"/>
      <c r="M51" s="253"/>
      <c r="N51" s="62"/>
      <c r="O51" s="253"/>
      <c r="P51" s="62"/>
      <c r="Q51" s="253"/>
      <c r="R51" s="62"/>
      <c r="S51" s="253"/>
      <c r="T51" s="62"/>
      <c r="U51" s="253"/>
      <c r="V51" s="62"/>
      <c r="W51" s="253"/>
      <c r="X51" s="62"/>
      <c r="Y51" s="253"/>
      <c r="Z51" s="62"/>
      <c r="AA51" s="390"/>
      <c r="AB51" s="62"/>
      <c r="AC51" s="62"/>
      <c r="AD51" s="858"/>
      <c r="AE51" s="192"/>
      <c r="AF51" s="1543"/>
      <c r="AG51" s="62"/>
      <c r="AH51" s="13"/>
      <c r="AI51" s="13"/>
      <c r="AJ51" s="74"/>
    </row>
    <row r="52" spans="1:36" ht="16.5" customHeight="1">
      <c r="A52" s="284" t="s">
        <v>375</v>
      </c>
      <c r="B52" s="284"/>
      <c r="C52" s="512">
        <f>+'Exhibit F'!D48</f>
        <v>0</v>
      </c>
      <c r="D52" s="512"/>
      <c r="E52" s="512">
        <f>+'Exhibit F'!F48</f>
        <v>0</v>
      </c>
      <c r="F52" s="512"/>
      <c r="G52" s="512">
        <f>+'Exhibit F'!H48</f>
        <v>0</v>
      </c>
      <c r="H52" s="194"/>
      <c r="I52" s="512"/>
      <c r="J52" s="194"/>
      <c r="K52" s="512"/>
      <c r="L52" s="62"/>
      <c r="M52" s="512"/>
      <c r="N52" s="62"/>
      <c r="O52" s="512"/>
      <c r="P52" s="62"/>
      <c r="Q52" s="512"/>
      <c r="R52" s="512"/>
      <c r="S52" s="512"/>
      <c r="T52" s="512"/>
      <c r="U52" s="512"/>
      <c r="V52" s="512"/>
      <c r="W52" s="512"/>
      <c r="X52" s="512"/>
      <c r="Y52" s="512"/>
      <c r="Z52" s="62"/>
      <c r="AA52" s="390"/>
      <c r="AB52" s="194">
        <f t="shared" ref="AB52:AB56" si="10">ROUND(SUM(C52:Y52),1)</f>
        <v>0</v>
      </c>
      <c r="AC52" s="62"/>
      <c r="AD52" s="858"/>
      <c r="AE52" s="512">
        <f>+'Exhibit F'!AF48</f>
        <v>0</v>
      </c>
      <c r="AF52" s="1543"/>
      <c r="AG52" s="62"/>
      <c r="AH52" s="264">
        <f t="shared" ref="AH52:AH56" si="11">ROUND(SUM(+AB52-AE52),1)</f>
        <v>0</v>
      </c>
      <c r="AI52" s="13"/>
      <c r="AJ52" s="266">
        <f>-ROUND(IF(AE52=0,0,AH52/ABS(AE52)),3)</f>
        <v>0</v>
      </c>
    </row>
    <row r="53" spans="1:36" ht="16.5" customHeight="1">
      <c r="A53" s="284" t="s">
        <v>376</v>
      </c>
      <c r="B53" s="284"/>
      <c r="C53" s="105">
        <f>+'Exhibit F'!D49</f>
        <v>165.8</v>
      </c>
      <c r="D53" s="105"/>
      <c r="E53" s="105">
        <f>+'Exhibit F'!F49</f>
        <v>113.10000000000002</v>
      </c>
      <c r="F53" s="105"/>
      <c r="G53" s="105">
        <f>+'Exhibit F'!H49</f>
        <v>94.599999999999966</v>
      </c>
      <c r="H53" s="194"/>
      <c r="I53" s="105"/>
      <c r="J53" s="194"/>
      <c r="K53" s="105"/>
      <c r="L53" s="194"/>
      <c r="M53" s="105"/>
      <c r="N53" s="62"/>
      <c r="O53" s="105"/>
      <c r="P53" s="62"/>
      <c r="Q53" s="105"/>
      <c r="R53" s="105"/>
      <c r="S53" s="105"/>
      <c r="T53" s="105"/>
      <c r="U53" s="105"/>
      <c r="V53" s="105"/>
      <c r="W53" s="105"/>
      <c r="X53" s="105"/>
      <c r="Y53" s="105"/>
      <c r="Z53" s="62"/>
      <c r="AA53" s="390"/>
      <c r="AB53" s="194">
        <f t="shared" si="10"/>
        <v>373.5</v>
      </c>
      <c r="AC53" s="62"/>
      <c r="AD53" s="858"/>
      <c r="AE53" s="105">
        <f>+'Exhibit F'!AF49</f>
        <v>395.3</v>
      </c>
      <c r="AF53" s="1543"/>
      <c r="AG53" s="62"/>
      <c r="AH53" s="264">
        <f t="shared" si="11"/>
        <v>-21.8</v>
      </c>
      <c r="AI53" s="13"/>
      <c r="AJ53" s="374">
        <f t="shared" ref="AJ53:AJ58" si="12">ROUND(IF(AE53=0,0,AH53/ABS(AE53)),3)</f>
        <v>-5.5E-2</v>
      </c>
    </row>
    <row r="54" spans="1:36" ht="16.5" customHeight="1">
      <c r="A54" s="284" t="s">
        <v>377</v>
      </c>
      <c r="B54" s="284"/>
      <c r="C54" s="105">
        <f>+'Exhibit F'!D50</f>
        <v>1</v>
      </c>
      <c r="D54" s="105"/>
      <c r="E54" s="105">
        <f>+'Exhibit F'!F50</f>
        <v>0.8</v>
      </c>
      <c r="F54" s="105"/>
      <c r="G54" s="105">
        <f>+'Exhibit F'!H50</f>
        <v>1.2000000000000002</v>
      </c>
      <c r="H54" s="194"/>
      <c r="I54" s="105"/>
      <c r="J54" s="194"/>
      <c r="K54" s="105"/>
      <c r="L54" s="194"/>
      <c r="M54" s="105"/>
      <c r="N54" s="62"/>
      <c r="O54" s="105"/>
      <c r="P54" s="62"/>
      <c r="Q54" s="105"/>
      <c r="R54" s="105"/>
      <c r="S54" s="105"/>
      <c r="T54" s="105"/>
      <c r="U54" s="105"/>
      <c r="V54" s="105"/>
      <c r="W54" s="105"/>
      <c r="X54" s="105"/>
      <c r="Y54" s="105"/>
      <c r="Z54" s="62"/>
      <c r="AA54" s="390"/>
      <c r="AB54" s="194">
        <f t="shared" si="10"/>
        <v>3</v>
      </c>
      <c r="AC54" s="62"/>
      <c r="AD54" s="858"/>
      <c r="AE54" s="105">
        <f>+'Exhibit F'!AF50</f>
        <v>3.6</v>
      </c>
      <c r="AF54" s="1543"/>
      <c r="AG54" s="62"/>
      <c r="AH54" s="264">
        <f t="shared" si="11"/>
        <v>-0.6</v>
      </c>
      <c r="AI54" s="13"/>
      <c r="AJ54" s="374">
        <f t="shared" si="12"/>
        <v>-0.16700000000000001</v>
      </c>
    </row>
    <row r="55" spans="1:36" ht="16.5" customHeight="1">
      <c r="A55" s="284" t="s">
        <v>378</v>
      </c>
      <c r="B55" s="284"/>
      <c r="C55" s="105">
        <f>+'Exhibit F'!D51+'Exhibit H'!B26+'Exhibit I'!E28</f>
        <v>118.6</v>
      </c>
      <c r="D55" s="105"/>
      <c r="E55" s="105">
        <f>+'Exhibit F'!F51+'Exhibit H'!D26+'Exhibit I'!G28</f>
        <v>104.70000000000002</v>
      </c>
      <c r="F55" s="105"/>
      <c r="G55" s="105">
        <f>+'Exhibit F'!H51+'Exhibit H'!F26+'Exhibit I'!I28</f>
        <v>123.79999999999997</v>
      </c>
      <c r="H55" s="194"/>
      <c r="I55" s="105"/>
      <c r="J55" s="194"/>
      <c r="K55" s="105"/>
      <c r="L55" s="194"/>
      <c r="M55" s="105"/>
      <c r="N55" s="62"/>
      <c r="O55" s="105"/>
      <c r="P55" s="62"/>
      <c r="Q55" s="105"/>
      <c r="R55" s="105"/>
      <c r="S55" s="105"/>
      <c r="T55" s="105"/>
      <c r="U55" s="105"/>
      <c r="V55" s="105"/>
      <c r="W55" s="105"/>
      <c r="X55" s="105"/>
      <c r="Y55" s="105"/>
      <c r="Z55" s="62"/>
      <c r="AA55" s="390"/>
      <c r="AB55" s="194">
        <f t="shared" si="10"/>
        <v>347.1</v>
      </c>
      <c r="AC55" s="62"/>
      <c r="AD55" s="858"/>
      <c r="AE55" s="105">
        <f>+'Exhibit F'!AF51+'Exhibit H'!AD26+'Exhibit I'!AI28</f>
        <v>316.5</v>
      </c>
      <c r="AF55" s="1543"/>
      <c r="AG55" s="62"/>
      <c r="AH55" s="264">
        <f t="shared" si="11"/>
        <v>30.6</v>
      </c>
      <c r="AI55" s="13"/>
      <c r="AJ55" s="374">
        <f t="shared" si="12"/>
        <v>9.7000000000000003E-2</v>
      </c>
    </row>
    <row r="56" spans="1:36" ht="16.5" customHeight="1">
      <c r="A56" s="284" t="s">
        <v>379</v>
      </c>
      <c r="B56" s="284"/>
      <c r="C56" s="105">
        <f>+'Exhibit F'!D52</f>
        <v>0.1</v>
      </c>
      <c r="D56" s="105"/>
      <c r="E56" s="105">
        <f>+'Exhibit F'!F52</f>
        <v>0</v>
      </c>
      <c r="F56" s="105"/>
      <c r="G56" s="105">
        <f>+'Exhibit F'!H52</f>
        <v>0</v>
      </c>
      <c r="H56" s="194"/>
      <c r="I56" s="105"/>
      <c r="J56" s="194"/>
      <c r="K56" s="105"/>
      <c r="L56" s="194"/>
      <c r="M56" s="105"/>
      <c r="N56" s="62"/>
      <c r="O56" s="105"/>
      <c r="P56" s="62"/>
      <c r="Q56" s="105"/>
      <c r="R56" s="105"/>
      <c r="S56" s="105"/>
      <c r="T56" s="105"/>
      <c r="U56" s="105"/>
      <c r="V56" s="105"/>
      <c r="W56" s="105"/>
      <c r="X56" s="105"/>
      <c r="Y56" s="105"/>
      <c r="Z56" s="62"/>
      <c r="AA56" s="390"/>
      <c r="AB56" s="194">
        <f t="shared" si="10"/>
        <v>0.1</v>
      </c>
      <c r="AC56" s="62"/>
      <c r="AD56" s="858"/>
      <c r="AE56" s="105">
        <f>+'Exhibit F'!AF52</f>
        <v>0.1</v>
      </c>
      <c r="AF56" s="1543"/>
      <c r="AG56" s="62"/>
      <c r="AH56" s="264">
        <f t="shared" si="11"/>
        <v>0</v>
      </c>
      <c r="AI56" s="13"/>
      <c r="AJ56" s="266">
        <f>ROUND(IF(AE56=0,1,AH56/ABS(AE56)),3)</f>
        <v>0</v>
      </c>
    </row>
    <row r="57" spans="1:36" ht="16.5" customHeight="1">
      <c r="A57" s="420" t="s">
        <v>380</v>
      </c>
      <c r="B57" s="284"/>
      <c r="C57" s="105">
        <f>+'Exhibit F'!D53+'Exhibit H'!B27</f>
        <v>0.2</v>
      </c>
      <c r="D57" s="105"/>
      <c r="E57" s="105">
        <f>+'Exhibit F'!F53+'Exhibit H'!D27</f>
        <v>0.2</v>
      </c>
      <c r="F57" s="105"/>
      <c r="G57" s="105">
        <f>+'Exhibit F'!H53+'Exhibit H'!F27</f>
        <v>0.30000000000000004</v>
      </c>
      <c r="H57" s="194"/>
      <c r="I57" s="105"/>
      <c r="J57" s="194"/>
      <c r="K57" s="105"/>
      <c r="L57" s="62"/>
      <c r="M57" s="105"/>
      <c r="N57" s="62"/>
      <c r="O57" s="105"/>
      <c r="P57" s="62"/>
      <c r="Q57" s="105"/>
      <c r="R57" s="105"/>
      <c r="S57" s="105"/>
      <c r="T57" s="105"/>
      <c r="U57" s="105"/>
      <c r="V57" s="105"/>
      <c r="W57" s="105"/>
      <c r="X57" s="105"/>
      <c r="Y57" s="105"/>
      <c r="Z57" s="62"/>
      <c r="AA57" s="390"/>
      <c r="AB57" s="194">
        <f t="shared" ref="AB57" si="13">ROUND(SUM(C57:Y57),1)</f>
        <v>0.7</v>
      </c>
      <c r="AC57" s="62"/>
      <c r="AD57" s="858"/>
      <c r="AE57" s="105">
        <f>+'Exhibit F'!AF53+'Exhibit H'!AD27</f>
        <v>1</v>
      </c>
      <c r="AF57" s="1543"/>
      <c r="AG57" s="62"/>
      <c r="AH57" s="264">
        <f>ROUND(SUM(+AB57-AE57),1)</f>
        <v>-0.3</v>
      </c>
      <c r="AI57" s="63"/>
      <c r="AJ57" s="533">
        <f>ROUND(IF(AE57=0,1,AH57/ABS(AE57)),3)</f>
        <v>-0.3</v>
      </c>
    </row>
    <row r="58" spans="1:36" ht="16.5" customHeight="1">
      <c r="A58" s="83" t="s">
        <v>381</v>
      </c>
      <c r="B58" s="284"/>
      <c r="C58" s="1012">
        <f>ROUND(SUM(C52:C57),1)</f>
        <v>285.7</v>
      </c>
      <c r="D58" s="1"/>
      <c r="E58" s="1012">
        <f>ROUND(SUM(E52:E57),1)</f>
        <v>218.8</v>
      </c>
      <c r="F58" s="1"/>
      <c r="G58" s="1012">
        <f>ROUND(SUM(G52:G57),1)</f>
        <v>219.9</v>
      </c>
      <c r="H58" s="62"/>
      <c r="I58" s="1012">
        <f>ROUND(SUM(I52:I57),1)</f>
        <v>0</v>
      </c>
      <c r="J58" s="62"/>
      <c r="K58" s="1012">
        <f>ROUND(SUM(K52:K57),1)</f>
        <v>0</v>
      </c>
      <c r="L58" s="62"/>
      <c r="M58" s="1012">
        <f>ROUND(SUM(M52:M57),1)</f>
        <v>0</v>
      </c>
      <c r="N58" s="62"/>
      <c r="O58" s="1012">
        <f>ROUND(SUM(O52:O57),1)</f>
        <v>0</v>
      </c>
      <c r="P58" s="62"/>
      <c r="Q58" s="1012">
        <f>ROUND(SUM(Q52:Q57),1)</f>
        <v>0</v>
      </c>
      <c r="R58" s="62"/>
      <c r="S58" s="1012">
        <f>ROUND(SUM(S52:S57),1)</f>
        <v>0</v>
      </c>
      <c r="T58" s="62"/>
      <c r="U58" s="1012">
        <f>ROUND(SUM(U52:U57),1)</f>
        <v>0</v>
      </c>
      <c r="V58" s="62"/>
      <c r="W58" s="1012">
        <f>ROUND(SUM(W52:W57),1)</f>
        <v>0</v>
      </c>
      <c r="X58" s="62"/>
      <c r="Y58" s="1012">
        <f>ROUND(SUM(Y52:Y57),1)</f>
        <v>0</v>
      </c>
      <c r="Z58" s="62"/>
      <c r="AA58" s="390"/>
      <c r="AB58" s="1012">
        <f>ROUND(SUM(AB52:AB57),1)</f>
        <v>724.4</v>
      </c>
      <c r="AC58" s="62"/>
      <c r="AD58" s="858"/>
      <c r="AE58" s="1012">
        <f>ROUND(SUM(AE52:AE57),1)</f>
        <v>716.5</v>
      </c>
      <c r="AF58" s="1543"/>
      <c r="AG58" s="62"/>
      <c r="AH58" s="1012">
        <f>ROUND(SUM(AH52:AH57),1)</f>
        <v>7.9</v>
      </c>
      <c r="AI58" s="13"/>
      <c r="AJ58" s="1014">
        <f t="shared" si="12"/>
        <v>1.0999999999999999E-2</v>
      </c>
    </row>
    <row r="59" spans="1:36" ht="16.5" customHeight="1">
      <c r="A59" s="83"/>
      <c r="B59" s="284"/>
      <c r="C59" s="1"/>
      <c r="D59" s="1"/>
      <c r="E59" s="1"/>
      <c r="F59" s="1"/>
      <c r="G59" s="1"/>
      <c r="H59" s="62"/>
      <c r="I59" s="1"/>
      <c r="J59" s="62"/>
      <c r="K59" s="1"/>
      <c r="L59" s="62"/>
      <c r="M59" s="1"/>
      <c r="N59" s="62"/>
      <c r="O59" s="1"/>
      <c r="P59" s="62"/>
      <c r="Q59" s="1"/>
      <c r="R59" s="62"/>
      <c r="S59" s="1"/>
      <c r="T59" s="62"/>
      <c r="U59" s="1"/>
      <c r="V59" s="62"/>
      <c r="W59" s="1"/>
      <c r="X59" s="62"/>
      <c r="Y59" s="1"/>
      <c r="Z59" s="62"/>
      <c r="AA59" s="193"/>
      <c r="AB59" s="62"/>
      <c r="AC59" s="62"/>
      <c r="AD59" s="858"/>
      <c r="AE59" s="62"/>
      <c r="AF59" s="1543"/>
      <c r="AG59" s="62"/>
      <c r="AH59" s="268"/>
      <c r="AI59" s="62"/>
      <c r="AJ59" s="268"/>
    </row>
    <row r="60" spans="1:36" ht="16.5" customHeight="1">
      <c r="A60" s="83" t="s">
        <v>382</v>
      </c>
      <c r="B60" s="364"/>
      <c r="C60" s="983">
        <f>ROUND(SUM(C58+C50+C42+C30),1)</f>
        <v>13990.3</v>
      </c>
      <c r="D60" s="264"/>
      <c r="E60" s="983">
        <f>ROUND(SUM(E58+E50+E42+E30),1)</f>
        <v>6655.8</v>
      </c>
      <c r="F60" s="264"/>
      <c r="G60" s="983">
        <f>ROUND(SUM(G58+G50+G42+G30),1)</f>
        <v>16583.2</v>
      </c>
      <c r="H60" s="264"/>
      <c r="I60" s="983">
        <f>ROUND(SUM(I58+I50+I42+I30),1)</f>
        <v>0</v>
      </c>
      <c r="J60" s="264"/>
      <c r="K60" s="983">
        <f>ROUND(SUM(K58+K50+K42+K30),1)</f>
        <v>0</v>
      </c>
      <c r="L60" s="264"/>
      <c r="M60" s="983">
        <f>ROUND(SUM(M58+M50+M42+M30),1)</f>
        <v>0</v>
      </c>
      <c r="N60" s="264"/>
      <c r="O60" s="983">
        <f>ROUND(SUM(O58+O50+O42+O30),1)</f>
        <v>0</v>
      </c>
      <c r="P60" s="264"/>
      <c r="Q60" s="983">
        <f>ROUND(SUM(Q58+Q50+Q42+Q30),1)</f>
        <v>0</v>
      </c>
      <c r="R60" s="264"/>
      <c r="S60" s="983">
        <f>ROUND(SUM(S58+S50+S42+S30),1)</f>
        <v>0</v>
      </c>
      <c r="T60" s="264"/>
      <c r="U60" s="983">
        <f>ROUND(SUM(U58+U50+U42+U30),1)</f>
        <v>0</v>
      </c>
      <c r="V60" s="264"/>
      <c r="W60" s="983">
        <f>ROUND(SUM(W58+W50+W42+W30),1)</f>
        <v>0</v>
      </c>
      <c r="X60" s="268"/>
      <c r="Y60" s="983">
        <f>ROUND(SUM(Y58+Y50+Y42+Y30),1)</f>
        <v>0</v>
      </c>
      <c r="Z60" s="268"/>
      <c r="AA60" s="854"/>
      <c r="AB60" s="1015">
        <f>ROUND(+AB58+AB50+AB42+AB30,1)</f>
        <v>37229.300000000003</v>
      </c>
      <c r="AC60" s="264"/>
      <c r="AD60" s="523"/>
      <c r="AE60" s="1015">
        <f>ROUND(+AE58+AE50+AE42+AE30,1)</f>
        <v>33208.5</v>
      </c>
      <c r="AF60" s="519"/>
      <c r="AG60" s="698"/>
      <c r="AH60" s="1015">
        <f>ROUND(+AH58+AH50+AH42+AH30,1)</f>
        <v>4020.8</v>
      </c>
      <c r="AI60" s="264"/>
      <c r="AJ60" s="860">
        <f>ROUND(IF(AE60=0,0,AH60/ABS(AE60)),3)</f>
        <v>0.121</v>
      </c>
    </row>
    <row r="61" spans="1:36" ht="16.5" customHeight="1">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1"/>
      <c r="AE61" s="194"/>
      <c r="AF61" s="1545"/>
      <c r="AG61" s="194"/>
      <c r="AH61" s="194"/>
      <c r="AI61" s="62"/>
      <c r="AJ61" s="283"/>
    </row>
    <row r="62" spans="1:36" ht="16.5" customHeight="1">
      <c r="A62" s="1216" t="s">
        <v>383</v>
      </c>
      <c r="B62" s="366"/>
      <c r="C62" s="194"/>
      <c r="D62" s="194"/>
      <c r="E62" s="194"/>
      <c r="F62" s="194"/>
      <c r="G62" s="194"/>
      <c r="H62" s="194"/>
      <c r="I62" s="194" t="s">
        <v>103</v>
      </c>
      <c r="J62" s="194"/>
      <c r="K62" s="194" t="s">
        <v>103</v>
      </c>
      <c r="L62" s="194"/>
      <c r="M62" s="194" t="s">
        <v>103</v>
      </c>
      <c r="N62" s="194"/>
      <c r="O62" s="194" t="s">
        <v>103</v>
      </c>
      <c r="P62" s="194"/>
      <c r="Q62" s="194"/>
      <c r="R62" s="194"/>
      <c r="S62" s="194"/>
      <c r="T62" s="194"/>
      <c r="U62" s="194"/>
      <c r="V62" s="194"/>
      <c r="W62" s="194"/>
      <c r="X62" s="194"/>
      <c r="Y62" s="194"/>
      <c r="Z62" s="194"/>
      <c r="AA62" s="195"/>
      <c r="AB62" s="194"/>
      <c r="AC62" s="194"/>
      <c r="AD62" s="861"/>
      <c r="AE62" s="194"/>
      <c r="AF62" s="1545"/>
      <c r="AG62" s="194"/>
      <c r="AH62" s="194"/>
      <c r="AI62" s="62"/>
      <c r="AJ62" s="283"/>
    </row>
    <row r="63" spans="1:36" ht="16.5" customHeight="1">
      <c r="A63" s="350" t="s">
        <v>384</v>
      </c>
      <c r="B63" s="366"/>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1"/>
      <c r="AE63" s="194"/>
      <c r="AF63" s="1545"/>
      <c r="AG63" s="194"/>
      <c r="AH63" s="194"/>
      <c r="AI63" s="62"/>
      <c r="AJ63" s="283"/>
    </row>
    <row r="64" spans="1:36" ht="16.5" customHeight="1">
      <c r="A64" s="350" t="s">
        <v>385</v>
      </c>
      <c r="B64" s="350"/>
      <c r="C64" s="194">
        <f>+'Exhibit F'!D60+'Exhibit G'!D42+'Exhibit I'!E35</f>
        <v>2.2999999999999998</v>
      </c>
      <c r="D64" s="194"/>
      <c r="E64" s="194">
        <f>+'Exhibit F'!F60+'Exhibit G'!F42+'Exhibit I'!G35</f>
        <v>1.1000000000000001</v>
      </c>
      <c r="F64" s="194"/>
      <c r="G64" s="194">
        <f>+'Exhibit F'!H60+'Exhibit G'!H42+'Exhibit I'!I35</f>
        <v>2.2000000000000002</v>
      </c>
      <c r="H64" s="194"/>
      <c r="I64" s="194"/>
      <c r="J64" s="194"/>
      <c r="K64" s="194"/>
      <c r="L64" s="194"/>
      <c r="M64" s="194"/>
      <c r="N64" s="194"/>
      <c r="O64" s="194"/>
      <c r="P64" s="194"/>
      <c r="Q64" s="194"/>
      <c r="R64" s="194"/>
      <c r="S64" s="194"/>
      <c r="T64" s="194"/>
      <c r="U64" s="194"/>
      <c r="V64" s="194"/>
      <c r="W64" s="194"/>
      <c r="X64" s="194"/>
      <c r="Y64" s="194"/>
      <c r="Z64" s="194"/>
      <c r="AA64" s="195"/>
      <c r="AB64" s="194">
        <f t="shared" ref="AB64:AB104" si="14">ROUND(SUM(C64:Y64),1)</f>
        <v>5.6</v>
      </c>
      <c r="AC64" s="194"/>
      <c r="AD64" s="861"/>
      <c r="AE64" s="194">
        <f>+'Exhibit F'!AF60+'Exhibit G'!AH42+'Exhibit I'!AI35</f>
        <v>4.3999999999999995</v>
      </c>
      <c r="AF64" s="1545"/>
      <c r="AG64" s="194"/>
      <c r="AH64" s="194">
        <f t="shared" ref="AH64:AH104" si="15">ROUND(SUM(AB64-AE64),1)</f>
        <v>1.2</v>
      </c>
      <c r="AI64" s="62"/>
      <c r="AJ64" s="374">
        <f>ROUND(IF(AE64=0,0,AH64/ABS(AE64)),3)</f>
        <v>0.27300000000000002</v>
      </c>
    </row>
    <row r="65" spans="1:36" ht="16.5" customHeight="1">
      <c r="A65" s="350" t="s">
        <v>386</v>
      </c>
      <c r="B65" s="350"/>
      <c r="C65" s="194">
        <f>+'Exhibit F'!D61+'Exhibit I'!E36</f>
        <v>2.8</v>
      </c>
      <c r="D65" s="194"/>
      <c r="E65" s="194">
        <f>+'Exhibit F'!F61+'Exhibit I'!G36</f>
        <v>-0.29999999999999982</v>
      </c>
      <c r="F65" s="194"/>
      <c r="G65" s="194">
        <f>+'Exhibit F'!H61+'Exhibit I'!I36</f>
        <v>33.4</v>
      </c>
      <c r="H65" s="194"/>
      <c r="I65" s="194"/>
      <c r="J65" s="194"/>
      <c r="K65" s="194"/>
      <c r="L65" s="194"/>
      <c r="M65" s="194"/>
      <c r="N65" s="194"/>
      <c r="O65" s="194"/>
      <c r="P65" s="194"/>
      <c r="Q65" s="194"/>
      <c r="R65" s="194"/>
      <c r="S65" s="194"/>
      <c r="T65" s="194"/>
      <c r="U65" s="194"/>
      <c r="V65" s="194"/>
      <c r="W65" s="194"/>
      <c r="X65" s="194"/>
      <c r="Y65" s="194"/>
      <c r="Z65" s="194"/>
      <c r="AA65" s="195"/>
      <c r="AB65" s="194">
        <f t="shared" si="14"/>
        <v>35.9</v>
      </c>
      <c r="AC65" s="194"/>
      <c r="AD65" s="861"/>
      <c r="AE65" s="194">
        <f>+'Exhibit F'!AF61+'Exhibit I'!AI36</f>
        <v>33.6</v>
      </c>
      <c r="AF65" s="1545"/>
      <c r="AG65" s="194"/>
      <c r="AH65" s="194">
        <f t="shared" si="15"/>
        <v>2.2999999999999998</v>
      </c>
      <c r="AI65" s="62"/>
      <c r="AJ65" s="859">
        <f>ROUND(IF(AE65=0,0,AH65/ABS(AE65)),3)</f>
        <v>6.8000000000000005E-2</v>
      </c>
    </row>
    <row r="66" spans="1:36" ht="16.5" customHeight="1">
      <c r="A66" s="350" t="s">
        <v>387</v>
      </c>
      <c r="B66" s="350"/>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1"/>
      <c r="AE66" s="194"/>
      <c r="AF66" s="1545"/>
      <c r="AG66" s="194"/>
      <c r="AH66" s="194"/>
      <c r="AI66" s="62"/>
      <c r="AJ66" s="374"/>
    </row>
    <row r="67" spans="1:36" ht="16.5" customHeight="1">
      <c r="A67" s="350" t="s">
        <v>388</v>
      </c>
      <c r="B67" s="350"/>
      <c r="C67" s="194">
        <f>+'Exhibit F'!D63+'Exhibit G'!D44+'Exhibit I'!E38</f>
        <v>133.5</v>
      </c>
      <c r="D67" s="194"/>
      <c r="E67" s="194">
        <f>+'Exhibit F'!F63+'Exhibit G'!F44+'Exhibit I'!G38</f>
        <v>103.5</v>
      </c>
      <c r="F67" s="194"/>
      <c r="G67" s="194">
        <f>+'Exhibit F'!H63+'Exhibit G'!H44+'Exhibit I'!I38</f>
        <v>94.2</v>
      </c>
      <c r="H67" s="194"/>
      <c r="I67" s="194"/>
      <c r="J67" s="194"/>
      <c r="K67" s="194"/>
      <c r="L67" s="194"/>
      <c r="M67" s="194"/>
      <c r="N67" s="194"/>
      <c r="O67" s="194"/>
      <c r="P67" s="194"/>
      <c r="Q67" s="194"/>
      <c r="R67" s="194"/>
      <c r="S67" s="194"/>
      <c r="T67" s="194"/>
      <c r="U67" s="194"/>
      <c r="V67" s="194"/>
      <c r="W67" s="194"/>
      <c r="X67" s="194"/>
      <c r="Y67" s="194"/>
      <c r="Z67" s="194"/>
      <c r="AA67" s="195"/>
      <c r="AB67" s="194">
        <f>ROUND(SUM(C67:Y67),1)</f>
        <v>331.2</v>
      </c>
      <c r="AC67" s="194"/>
      <c r="AD67" s="861"/>
      <c r="AE67" s="194">
        <f>+'Exhibit F'!AF63+'Exhibit G'!AH44+'Exhibit I'!AI38</f>
        <v>212</v>
      </c>
      <c r="AF67" s="1545"/>
      <c r="AG67" s="194"/>
      <c r="AH67" s="194">
        <f t="shared" si="15"/>
        <v>119.2</v>
      </c>
      <c r="AI67" s="62"/>
      <c r="AJ67" s="374">
        <f>ROUND(IF(AE67=0,0,AH67/ABS(AE67)),3)</f>
        <v>0.56200000000000006</v>
      </c>
    </row>
    <row r="68" spans="1:36" ht="16.5" customHeight="1">
      <c r="A68" s="350" t="s">
        <v>389</v>
      </c>
      <c r="B68" s="350"/>
      <c r="C68" s="194">
        <f>+'Exhibit F'!D64+'Exhibit G'!D45</f>
        <v>656.1</v>
      </c>
      <c r="D68" s="194"/>
      <c r="E68" s="194">
        <f>+'Exhibit F'!F64+'Exhibit G'!F45</f>
        <v>795.40000000000009</v>
      </c>
      <c r="F68" s="194"/>
      <c r="G68" s="194">
        <f>+'Exhibit F'!H64+'Exhibit G'!H45</f>
        <v>886.5</v>
      </c>
      <c r="H68" s="194"/>
      <c r="I68" s="194"/>
      <c r="J68" s="194"/>
      <c r="K68" s="194"/>
      <c r="L68" s="194"/>
      <c r="M68" s="194"/>
      <c r="N68" s="194"/>
      <c r="O68" s="194"/>
      <c r="P68" s="194"/>
      <c r="Q68" s="194"/>
      <c r="R68" s="194"/>
      <c r="S68" s="194"/>
      <c r="T68" s="194"/>
      <c r="U68" s="194"/>
      <c r="V68" s="194"/>
      <c r="W68" s="194"/>
      <c r="X68" s="194"/>
      <c r="Y68" s="194"/>
      <c r="Z68" s="194"/>
      <c r="AA68" s="195"/>
      <c r="AB68" s="194">
        <f t="shared" si="14"/>
        <v>2338</v>
      </c>
      <c r="AC68" s="194"/>
      <c r="AD68" s="861"/>
      <c r="AE68" s="194">
        <f>+'Exhibit F'!AF64+'Exhibit G'!AH45+'Exhibit H'!AD34</f>
        <v>2037.4</v>
      </c>
      <c r="AF68" s="1545"/>
      <c r="AG68" s="194"/>
      <c r="AH68" s="194">
        <f t="shared" si="15"/>
        <v>300.60000000000002</v>
      </c>
      <c r="AI68" s="62"/>
      <c r="AJ68" s="374">
        <f>ROUND(IF(AE68=0,0,AH68/ABS(AE68)),3)</f>
        <v>0.14799999999999999</v>
      </c>
    </row>
    <row r="69" spans="1:36" ht="16.5" customHeight="1">
      <c r="A69" s="350" t="s">
        <v>390</v>
      </c>
      <c r="B69" s="350"/>
      <c r="C69" s="194">
        <f>+'Exhibit F'!D65+'Exhibit G'!D46</f>
        <v>2.9</v>
      </c>
      <c r="D69" s="194"/>
      <c r="E69" s="194">
        <f>+'Exhibit F'!F65+'Exhibit G'!F46</f>
        <v>0</v>
      </c>
      <c r="F69" s="194"/>
      <c r="G69" s="194">
        <f>+'Exhibit F'!H65+'Exhibit G'!H46</f>
        <v>0.70000000000000018</v>
      </c>
      <c r="H69" s="194"/>
      <c r="I69" s="194"/>
      <c r="J69" s="194"/>
      <c r="K69" s="194"/>
      <c r="L69" s="194"/>
      <c r="M69" s="194"/>
      <c r="N69" s="194"/>
      <c r="O69" s="194"/>
      <c r="P69" s="194"/>
      <c r="Q69" s="194"/>
      <c r="R69" s="194"/>
      <c r="S69" s="194"/>
      <c r="T69" s="194"/>
      <c r="U69" s="194"/>
      <c r="V69" s="194"/>
      <c r="W69" s="194"/>
      <c r="X69" s="194"/>
      <c r="Y69" s="194"/>
      <c r="Z69" s="194"/>
      <c r="AA69" s="195"/>
      <c r="AB69" s="194">
        <f t="shared" si="14"/>
        <v>3.6</v>
      </c>
      <c r="AC69" s="194"/>
      <c r="AD69" s="861"/>
      <c r="AE69" s="194">
        <f>+'Exhibit F'!AF65+'Exhibit G'!AH46</f>
        <v>2.1</v>
      </c>
      <c r="AF69" s="1545"/>
      <c r="AG69" s="194"/>
      <c r="AH69" s="194">
        <f t="shared" si="15"/>
        <v>1.5</v>
      </c>
      <c r="AI69" s="62"/>
      <c r="AJ69" s="859">
        <f>ROUND(IF(AE69=0,0,AH69/ABS(AE69)),3)</f>
        <v>0.71399999999999997</v>
      </c>
    </row>
    <row r="70" spans="1:36" ht="16.5" customHeight="1">
      <c r="A70" s="350" t="s">
        <v>391</v>
      </c>
      <c r="B70" s="350"/>
      <c r="C70" s="194">
        <f>+'Exhibit F'!D66+'Exhibit G'!D47</f>
        <v>0</v>
      </c>
      <c r="D70" s="194"/>
      <c r="E70" s="194">
        <f>+'Exhibit F'!F66+'Exhibit G'!F47</f>
        <v>1005.1</v>
      </c>
      <c r="F70" s="194"/>
      <c r="G70" s="194">
        <f>+'Exhibit F'!H66+'Exhibit G'!H47</f>
        <v>0.10000000000002274</v>
      </c>
      <c r="H70" s="194"/>
      <c r="I70" s="194"/>
      <c r="J70" s="194"/>
      <c r="K70" s="194"/>
      <c r="L70" s="194"/>
      <c r="M70" s="194"/>
      <c r="N70" s="194"/>
      <c r="O70" s="194"/>
      <c r="P70" s="194"/>
      <c r="Q70" s="194"/>
      <c r="R70" s="194"/>
      <c r="S70" s="194"/>
      <c r="T70" s="194"/>
      <c r="U70" s="194"/>
      <c r="V70" s="194"/>
      <c r="W70" s="194"/>
      <c r="X70" s="194"/>
      <c r="Y70" s="194"/>
      <c r="Z70" s="194"/>
      <c r="AA70" s="195"/>
      <c r="AB70" s="194">
        <f t="shared" si="14"/>
        <v>1005.2</v>
      </c>
      <c r="AC70" s="194"/>
      <c r="AD70" s="861"/>
      <c r="AE70" s="194">
        <f>+'Exhibit F'!AF66+'Exhibit G'!AH47</f>
        <v>0.1</v>
      </c>
      <c r="AF70" s="1545"/>
      <c r="AG70" s="194"/>
      <c r="AH70" s="194">
        <f t="shared" si="15"/>
        <v>1005.1</v>
      </c>
      <c r="AI70" s="62"/>
      <c r="AJ70" s="542">
        <f>ROUND(IF(AE70=0,0,AH70/ABS(AE70)),3)</f>
        <v>10051</v>
      </c>
    </row>
    <row r="71" spans="1:36" ht="16.5" customHeight="1">
      <c r="A71" s="350" t="s">
        <v>392</v>
      </c>
      <c r="B71" s="350"/>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1"/>
      <c r="AE71" s="194"/>
      <c r="AF71" s="1545"/>
      <c r="AG71" s="194"/>
      <c r="AH71" s="194"/>
      <c r="AI71" s="62"/>
      <c r="AJ71" s="266"/>
    </row>
    <row r="72" spans="1:36" ht="16.5" customHeight="1">
      <c r="A72" s="350" t="s">
        <v>393</v>
      </c>
      <c r="B72" s="350"/>
      <c r="C72" s="194">
        <f>+'Exhibit F'!D68+'Exhibit H'!B36</f>
        <v>5.4</v>
      </c>
      <c r="D72" s="194"/>
      <c r="E72" s="194">
        <f>+'Exhibit F'!F68+'Exhibit H'!D36</f>
        <v>4.9000000000000004</v>
      </c>
      <c r="F72" s="194"/>
      <c r="G72" s="194">
        <f>+'Exhibit F'!H68+'Exhibit H'!F36</f>
        <v>5.8999999999999986</v>
      </c>
      <c r="H72" s="194"/>
      <c r="I72" s="194"/>
      <c r="J72" s="194"/>
      <c r="K72" s="194"/>
      <c r="L72" s="194"/>
      <c r="M72" s="194"/>
      <c r="N72" s="194"/>
      <c r="O72" s="194"/>
      <c r="P72" s="194"/>
      <c r="Q72" s="194"/>
      <c r="R72" s="194"/>
      <c r="S72" s="194"/>
      <c r="T72" s="194"/>
      <c r="U72" s="194"/>
      <c r="V72" s="194"/>
      <c r="W72" s="194"/>
      <c r="X72" s="194"/>
      <c r="Y72" s="194"/>
      <c r="Z72" s="194"/>
      <c r="AA72" s="195"/>
      <c r="AB72" s="194">
        <f t="shared" si="14"/>
        <v>16.2</v>
      </c>
      <c r="AC72" s="194"/>
      <c r="AD72" s="861"/>
      <c r="AE72" s="194">
        <f>+'Exhibit F'!AF68+'Exhibit H'!AD36</f>
        <v>12.6</v>
      </c>
      <c r="AF72" s="1545"/>
      <c r="AG72" s="194"/>
      <c r="AH72" s="194">
        <f t="shared" si="15"/>
        <v>3.6</v>
      </c>
      <c r="AI72" s="62"/>
      <c r="AJ72" s="266">
        <f t="shared" ref="AJ72:AJ79" si="16">ROUND(IF(AE72=0,0,AH72/ABS(AE72)),3)</f>
        <v>0.28599999999999998</v>
      </c>
    </row>
    <row r="73" spans="1:36" ht="16.5" customHeight="1">
      <c r="A73" s="350" t="s">
        <v>394</v>
      </c>
      <c r="B73" s="350"/>
      <c r="C73" s="194">
        <f>'Exhibit G'!D49</f>
        <v>0</v>
      </c>
      <c r="D73" s="194"/>
      <c r="E73" s="194">
        <f>'Exhibit G'!F49</f>
        <v>0</v>
      </c>
      <c r="F73" s="194"/>
      <c r="G73" s="194">
        <f>'Exhibit G'!H49</f>
        <v>0.1</v>
      </c>
      <c r="H73" s="194"/>
      <c r="I73" s="194"/>
      <c r="J73" s="194"/>
      <c r="K73" s="194"/>
      <c r="L73" s="194"/>
      <c r="M73" s="194"/>
      <c r="N73" s="194"/>
      <c r="O73" s="194"/>
      <c r="P73" s="194"/>
      <c r="Q73" s="194"/>
      <c r="R73" s="194"/>
      <c r="S73" s="194"/>
      <c r="T73" s="194"/>
      <c r="U73" s="194"/>
      <c r="V73" s="194"/>
      <c r="W73" s="194"/>
      <c r="X73" s="194"/>
      <c r="Y73" s="194"/>
      <c r="Z73" s="194"/>
      <c r="AA73" s="391"/>
      <c r="AB73" s="194">
        <f t="shared" si="14"/>
        <v>0.1</v>
      </c>
      <c r="AC73" s="194"/>
      <c r="AD73" s="861"/>
      <c r="AE73" s="194">
        <f>'Exhibit G'!AH49</f>
        <v>2.4</v>
      </c>
      <c r="AF73" s="1545"/>
      <c r="AG73" s="194"/>
      <c r="AH73" s="194">
        <f>ROUND(SUM(AB73-AE73),1)</f>
        <v>-2.2999999999999998</v>
      </c>
      <c r="AI73" s="62"/>
      <c r="AJ73" s="266">
        <f>ROUND(IF(AE73=0,0,AH73/ABS(AE73)),3)</f>
        <v>-0.95799999999999996</v>
      </c>
    </row>
    <row r="74" spans="1:36" ht="16.5" customHeight="1">
      <c r="A74" s="350" t="s">
        <v>395</v>
      </c>
      <c r="B74" s="350"/>
      <c r="C74" s="194">
        <f>+'Exhibit F'!D70+'Exhibit G'!D50+'Exhibit I'!E40+'Exhibit H'!B37</f>
        <v>86.9</v>
      </c>
      <c r="D74" s="194"/>
      <c r="E74" s="194">
        <f>+'Exhibit F'!F70+'Exhibit G'!F50+'Exhibit I'!G40+'Exhibit H'!D37</f>
        <v>59.999999999999993</v>
      </c>
      <c r="F74" s="194"/>
      <c r="G74" s="194">
        <f>+'Exhibit F'!H70+'Exhibit G'!H50+'Exhibit I'!I40+'Exhibit H'!F37</f>
        <v>132.70000000000002</v>
      </c>
      <c r="H74" s="194"/>
      <c r="I74" s="194"/>
      <c r="J74" s="194"/>
      <c r="K74" s="194"/>
      <c r="L74" s="194"/>
      <c r="M74" s="194"/>
      <c r="N74" s="194"/>
      <c r="O74" s="194"/>
      <c r="P74" s="194"/>
      <c r="Q74" s="194"/>
      <c r="R74" s="194"/>
      <c r="S74" s="194"/>
      <c r="T74" s="194"/>
      <c r="U74" s="194"/>
      <c r="V74" s="194"/>
      <c r="W74" s="194"/>
      <c r="X74" s="194"/>
      <c r="Y74" s="194"/>
      <c r="Z74" s="194"/>
      <c r="AA74" s="195"/>
      <c r="AB74" s="194">
        <f t="shared" si="14"/>
        <v>279.60000000000002</v>
      </c>
      <c r="AC74" s="194"/>
      <c r="AD74" s="861"/>
      <c r="AE74" s="264">
        <f>+'Exhibit F'!AF70+'Exhibit G'!AH50+'Exhibit I'!AI40+'Exhibit H'!AD37</f>
        <v>233.7</v>
      </c>
      <c r="AF74" s="1545"/>
      <c r="AG74" s="194"/>
      <c r="AH74" s="194">
        <f>ROUND(SUM(AB74-AE74),1)</f>
        <v>45.9</v>
      </c>
      <c r="AI74" s="62"/>
      <c r="AJ74" s="266">
        <f>ROUND(IF(AE74=0,1,AH74/ABS(AE74)),3)</f>
        <v>0.19600000000000001</v>
      </c>
    </row>
    <row r="75" spans="1:36" ht="16.5" customHeight="1">
      <c r="A75" s="350" t="s">
        <v>396</v>
      </c>
      <c r="B75" s="350"/>
      <c r="C75" s="194">
        <f>+'Exhibit F'!D71+'Exhibit G'!D51+'Exhibit H'!B38</f>
        <v>33.6</v>
      </c>
      <c r="D75" s="194"/>
      <c r="E75" s="194">
        <f>+'Exhibit F'!F71+'Exhibit G'!F51+'Exhibit H'!D38</f>
        <v>25.800000000000004</v>
      </c>
      <c r="F75" s="194"/>
      <c r="G75" s="194">
        <f>+'Exhibit F'!H71+'Exhibit G'!H51+'Exhibit H'!F38</f>
        <v>25.299999999999997</v>
      </c>
      <c r="H75" s="194"/>
      <c r="I75" s="194"/>
      <c r="J75" s="194"/>
      <c r="K75" s="194"/>
      <c r="L75" s="194"/>
      <c r="M75" s="194"/>
      <c r="N75" s="194"/>
      <c r="O75" s="194"/>
      <c r="P75" s="194"/>
      <c r="Q75" s="194"/>
      <c r="R75" s="194"/>
      <c r="S75" s="194"/>
      <c r="T75" s="194"/>
      <c r="U75" s="194"/>
      <c r="V75" s="194"/>
      <c r="W75" s="194"/>
      <c r="X75" s="194"/>
      <c r="Y75" s="194"/>
      <c r="Z75" s="194"/>
      <c r="AA75" s="195"/>
      <c r="AB75" s="194">
        <f t="shared" si="14"/>
        <v>84.7</v>
      </c>
      <c r="AC75" s="194"/>
      <c r="AD75" s="861"/>
      <c r="AE75" s="194">
        <f>+'Exhibit F'!AF71+'Exhibit G'!AH51+'Exhibit H'!AD38+'Exhibit I'!AI41</f>
        <v>62.8</v>
      </c>
      <c r="AF75" s="1545"/>
      <c r="AG75" s="194"/>
      <c r="AH75" s="194">
        <f t="shared" si="15"/>
        <v>21.9</v>
      </c>
      <c r="AI75" s="62"/>
      <c r="AJ75" s="266">
        <f t="shared" si="16"/>
        <v>0.34899999999999998</v>
      </c>
    </row>
    <row r="76" spans="1:36" ht="16.5" customHeight="1">
      <c r="A76" s="350" t="s">
        <v>397</v>
      </c>
      <c r="B76" s="350"/>
      <c r="C76" s="194">
        <f>+'Exhibit F'!D72+'Exhibit G'!D52+'Exhibit H'!B39</f>
        <v>0.1</v>
      </c>
      <c r="D76" s="194"/>
      <c r="E76" s="194">
        <f>+'Exhibit F'!F72+'Exhibit G'!F52+'Exhibit H'!D39</f>
        <v>0.79999999999999993</v>
      </c>
      <c r="F76" s="194"/>
      <c r="G76" s="194">
        <f>+'Exhibit F'!H72+'Exhibit G'!H52+'Exhibit H'!F39</f>
        <v>9.9999999999999978E-2</v>
      </c>
      <c r="H76" s="194"/>
      <c r="I76" s="194"/>
      <c r="J76" s="194"/>
      <c r="K76" s="194"/>
      <c r="L76" s="194"/>
      <c r="M76" s="194"/>
      <c r="N76" s="194"/>
      <c r="O76" s="194"/>
      <c r="P76" s="194"/>
      <c r="Q76" s="194"/>
      <c r="R76" s="194"/>
      <c r="S76" s="194"/>
      <c r="T76" s="194"/>
      <c r="U76" s="194"/>
      <c r="V76" s="194"/>
      <c r="W76" s="194"/>
      <c r="X76" s="194"/>
      <c r="Y76" s="194"/>
      <c r="Z76" s="194"/>
      <c r="AA76" s="195"/>
      <c r="AB76" s="194">
        <f t="shared" si="14"/>
        <v>1</v>
      </c>
      <c r="AC76" s="194"/>
      <c r="AD76" s="861"/>
      <c r="AE76" s="194">
        <f>+'Exhibit F'!AF72+'Exhibit G'!AH52+'Exhibit H'!AD39</f>
        <v>1.2</v>
      </c>
      <c r="AF76" s="1545"/>
      <c r="AG76" s="194"/>
      <c r="AH76" s="194">
        <f t="shared" si="15"/>
        <v>-0.2</v>
      </c>
      <c r="AI76" s="62"/>
      <c r="AJ76" s="266">
        <f>ROUND(IF(AE76=0,0,AH76/ABS(AE76)),3)</f>
        <v>-0.16700000000000001</v>
      </c>
    </row>
    <row r="77" spans="1:36" ht="16.5" customHeight="1">
      <c r="A77" s="350" t="s">
        <v>398</v>
      </c>
      <c r="B77" s="350"/>
      <c r="C77" s="194">
        <f>+'Exhibit F'!D73+'Exhibit G'!D53+'Exhibit I'!E42+'Exhibit H'!B40</f>
        <v>210.6</v>
      </c>
      <c r="D77" s="194"/>
      <c r="E77" s="194">
        <f>+'Exhibit F'!F73+'Exhibit G'!F53+'Exhibit I'!G42+'Exhibit H'!D40</f>
        <v>121.80000000000001</v>
      </c>
      <c r="F77" s="194"/>
      <c r="G77" s="194">
        <f>+'Exhibit F'!H73+'Exhibit G'!H53+'Exhibit I'!I42+'Exhibit H'!F40</f>
        <v>119.1</v>
      </c>
      <c r="H77" s="194"/>
      <c r="I77" s="194"/>
      <c r="J77" s="194"/>
      <c r="K77" s="194"/>
      <c r="L77" s="194"/>
      <c r="M77" s="194"/>
      <c r="N77" s="194"/>
      <c r="O77" s="194"/>
      <c r="P77" s="194"/>
      <c r="Q77" s="194"/>
      <c r="R77" s="194"/>
      <c r="S77" s="194"/>
      <c r="T77" s="194"/>
      <c r="U77" s="194"/>
      <c r="V77" s="194"/>
      <c r="W77" s="194"/>
      <c r="X77" s="194"/>
      <c r="Y77" s="194"/>
      <c r="Z77" s="194"/>
      <c r="AA77" s="195"/>
      <c r="AB77" s="194">
        <f t="shared" si="14"/>
        <v>451.5</v>
      </c>
      <c r="AC77" s="194"/>
      <c r="AD77" s="861"/>
      <c r="AE77" s="194">
        <f>+'Exhibit F'!AF73+'Exhibit G'!AH53+'Exhibit I'!AI42+'Exhibit H'!AD40</f>
        <v>369.29999999999995</v>
      </c>
      <c r="AF77" s="1545"/>
      <c r="AG77" s="194"/>
      <c r="AH77" s="194">
        <f t="shared" si="15"/>
        <v>82.2</v>
      </c>
      <c r="AI77" s="62"/>
      <c r="AJ77" s="266">
        <f t="shared" si="16"/>
        <v>0.223</v>
      </c>
    </row>
    <row r="78" spans="1:36" ht="16.5" customHeight="1">
      <c r="A78" s="350" t="s">
        <v>399</v>
      </c>
      <c r="B78" s="350"/>
      <c r="C78" s="194">
        <f>+'Exhibit F'!D74+'Exhibit G'!D54+'Exhibit I'!E43+'Exhibit H'!B41</f>
        <v>94</v>
      </c>
      <c r="D78" s="194"/>
      <c r="E78" s="194">
        <f>+'Exhibit F'!F74+'Exhibit G'!F54+'Exhibit I'!G43+'Exhibit H'!D41</f>
        <v>81.599999999999994</v>
      </c>
      <c r="F78" s="194"/>
      <c r="G78" s="194">
        <f>+'Exhibit F'!H74+'Exhibit G'!H54+'Exhibit I'!I43+'Exhibit H'!F41</f>
        <v>69.099999999999994</v>
      </c>
      <c r="H78" s="194"/>
      <c r="I78" s="194"/>
      <c r="J78" s="194"/>
      <c r="K78" s="194"/>
      <c r="L78" s="194"/>
      <c r="M78" s="194"/>
      <c r="N78" s="194"/>
      <c r="O78" s="194"/>
      <c r="P78" s="194"/>
      <c r="Q78" s="194"/>
      <c r="R78" s="194"/>
      <c r="S78" s="194"/>
      <c r="T78" s="194"/>
      <c r="U78" s="194"/>
      <c r="V78" s="194"/>
      <c r="W78" s="194"/>
      <c r="X78" s="194"/>
      <c r="Y78" s="194"/>
      <c r="Z78" s="194"/>
      <c r="AA78" s="195"/>
      <c r="AB78" s="194">
        <f t="shared" si="14"/>
        <v>244.7</v>
      </c>
      <c r="AC78" s="194"/>
      <c r="AD78" s="861"/>
      <c r="AE78" s="194">
        <f>+'Exhibit F'!AF74+'Exhibit G'!AH54+'Exhibit I'!AI43+'Exhibit H'!AD41</f>
        <v>212</v>
      </c>
      <c r="AF78" s="1545"/>
      <c r="AG78" s="194"/>
      <c r="AH78" s="194">
        <f t="shared" si="15"/>
        <v>32.700000000000003</v>
      </c>
      <c r="AI78" s="62"/>
      <c r="AJ78" s="266">
        <f t="shared" si="16"/>
        <v>0.154</v>
      </c>
    </row>
    <row r="79" spans="1:36" ht="16.5" customHeight="1">
      <c r="A79" s="350" t="s">
        <v>400</v>
      </c>
      <c r="B79" s="350"/>
      <c r="C79" s="194">
        <f>+'Exhibit F'!D75+'Exhibit G'!D55+'Exhibit I'!E44</f>
        <v>73.099999999999994</v>
      </c>
      <c r="D79" s="194"/>
      <c r="E79" s="194">
        <f>+'Exhibit F'!F75+'Exhibit G'!F55+'Exhibit I'!G44</f>
        <v>27.4</v>
      </c>
      <c r="F79" s="194"/>
      <c r="G79" s="194">
        <f>+'Exhibit F'!H75+'Exhibit G'!H55+'Exhibit I'!I44</f>
        <v>10.5</v>
      </c>
      <c r="H79" s="194"/>
      <c r="I79" s="194"/>
      <c r="J79" s="194"/>
      <c r="K79" s="194"/>
      <c r="L79" s="194"/>
      <c r="M79" s="194"/>
      <c r="N79" s="194"/>
      <c r="O79" s="194"/>
      <c r="P79" s="194"/>
      <c r="Q79" s="194"/>
      <c r="R79" s="194"/>
      <c r="S79" s="194"/>
      <c r="T79" s="194"/>
      <c r="U79" s="194"/>
      <c r="V79" s="194"/>
      <c r="W79" s="194"/>
      <c r="X79" s="194"/>
      <c r="Y79" s="194"/>
      <c r="Z79" s="194"/>
      <c r="AA79" s="195"/>
      <c r="AB79" s="194">
        <f t="shared" si="14"/>
        <v>111</v>
      </c>
      <c r="AC79" s="194"/>
      <c r="AD79" s="861"/>
      <c r="AE79" s="194">
        <f>+'Exhibit F'!AF75+'Exhibit G'!AH55+'Exhibit I'!AI44</f>
        <v>165.4</v>
      </c>
      <c r="AF79" s="1545"/>
      <c r="AG79" s="194"/>
      <c r="AH79" s="194">
        <f t="shared" si="15"/>
        <v>-54.4</v>
      </c>
      <c r="AI79" s="62"/>
      <c r="AJ79" s="266">
        <f t="shared" si="16"/>
        <v>-0.32900000000000001</v>
      </c>
    </row>
    <row r="80" spans="1:36" ht="16.5" customHeight="1">
      <c r="A80" s="350" t="s">
        <v>401</v>
      </c>
      <c r="B80" s="350"/>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1"/>
      <c r="AE80" s="194"/>
      <c r="AF80" s="1545"/>
      <c r="AG80" s="194"/>
      <c r="AH80" s="194"/>
      <c r="AI80" s="62"/>
      <c r="AJ80" s="266"/>
    </row>
    <row r="81" spans="1:37" ht="16.5" customHeight="1">
      <c r="A81" s="350" t="s">
        <v>402</v>
      </c>
      <c r="B81" s="350"/>
      <c r="C81" s="194">
        <f>+'Exhibit G'!D57</f>
        <v>57.6</v>
      </c>
      <c r="D81" s="194"/>
      <c r="E81" s="194">
        <f>+'Exhibit G'!F57</f>
        <v>56.999999999999993</v>
      </c>
      <c r="F81" s="194"/>
      <c r="G81" s="194">
        <f>+'Exhibit G'!H57</f>
        <v>25.999999999999993</v>
      </c>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140.6</v>
      </c>
      <c r="AC81" s="194"/>
      <c r="AD81" s="861"/>
      <c r="AE81" s="194">
        <f>+'Exhibit G'!AH57</f>
        <v>75.7</v>
      </c>
      <c r="AF81" s="1545"/>
      <c r="AG81" s="194"/>
      <c r="AH81" s="194">
        <f t="shared" ref="AH81:AH86" si="18">ROUND(SUM(AB81-AE81),1)</f>
        <v>64.900000000000006</v>
      </c>
      <c r="AI81" s="62"/>
      <c r="AJ81" s="542">
        <f>ROUND(IF(AE81=0,1,AH81/ABS(AE81)),3)</f>
        <v>0.85699999999999998</v>
      </c>
    </row>
    <row r="82" spans="1:37" ht="16.5" customHeight="1">
      <c r="A82" s="350" t="s">
        <v>403</v>
      </c>
      <c r="B82" s="350"/>
      <c r="C82" s="194">
        <f>+'Exhibit G'!D58</f>
        <v>218.6</v>
      </c>
      <c r="D82" s="194"/>
      <c r="E82" s="194">
        <f>+'Exhibit G'!F58</f>
        <v>177.9</v>
      </c>
      <c r="F82" s="194"/>
      <c r="G82" s="194">
        <f>+'Exhibit G'!H58</f>
        <v>175.79999999999998</v>
      </c>
      <c r="H82" s="194"/>
      <c r="I82" s="194"/>
      <c r="J82" s="194"/>
      <c r="K82" s="194"/>
      <c r="L82" s="194"/>
      <c r="M82" s="194"/>
      <c r="N82" s="194"/>
      <c r="O82" s="194"/>
      <c r="P82" s="194"/>
      <c r="Q82" s="194"/>
      <c r="R82" s="194"/>
      <c r="S82" s="194"/>
      <c r="T82" s="194"/>
      <c r="U82" s="194"/>
      <c r="V82" s="194"/>
      <c r="W82" s="194"/>
      <c r="X82" s="194"/>
      <c r="Y82" s="194"/>
      <c r="Z82" s="194"/>
      <c r="AA82" s="195"/>
      <c r="AB82" s="194">
        <f t="shared" si="17"/>
        <v>572.29999999999995</v>
      </c>
      <c r="AC82" s="194"/>
      <c r="AD82" s="861"/>
      <c r="AE82" s="194">
        <f>+'Exhibit G'!AH58</f>
        <v>575</v>
      </c>
      <c r="AF82" s="1545"/>
      <c r="AG82" s="194"/>
      <c r="AH82" s="194">
        <f t="shared" si="18"/>
        <v>-2.7</v>
      </c>
      <c r="AI82" s="62"/>
      <c r="AJ82" s="542">
        <f>ROUND(IF(AE82=0,1,AH82/ABS(AE82)),3)</f>
        <v>-5.0000000000000001E-3</v>
      </c>
      <c r="AK82" s="58" t="s">
        <v>103</v>
      </c>
    </row>
    <row r="83" spans="1:37" ht="16.5" customHeight="1">
      <c r="A83" s="350" t="s">
        <v>404</v>
      </c>
      <c r="B83" s="350"/>
      <c r="C83" s="194">
        <f>+'Exhibit G'!D59+'Exhibit F'!D77</f>
        <v>122.4</v>
      </c>
      <c r="D83" s="194"/>
      <c r="E83" s="194">
        <f>+'Exhibit G'!F59+'Exhibit F'!F77</f>
        <v>109.79999999999998</v>
      </c>
      <c r="F83" s="194"/>
      <c r="G83" s="194">
        <f>+'Exhibit G'!H59+'Exhibit F'!H77</f>
        <v>39</v>
      </c>
      <c r="H83" s="194"/>
      <c r="I83" s="194"/>
      <c r="J83" s="194"/>
      <c r="K83" s="194"/>
      <c r="L83" s="194"/>
      <c r="M83" s="194"/>
      <c r="N83" s="194"/>
      <c r="O83" s="194"/>
      <c r="P83" s="194"/>
      <c r="Q83" s="194"/>
      <c r="R83" s="194"/>
      <c r="S83" s="194"/>
      <c r="T83" s="194"/>
      <c r="U83" s="194"/>
      <c r="V83" s="194"/>
      <c r="W83" s="194"/>
      <c r="X83" s="194"/>
      <c r="Y83" s="194"/>
      <c r="Z83" s="194"/>
      <c r="AA83" s="195"/>
      <c r="AB83" s="194">
        <f t="shared" si="17"/>
        <v>271.2</v>
      </c>
      <c r="AC83" s="194"/>
      <c r="AD83" s="861"/>
      <c r="AE83" s="194">
        <f>+'Exhibit G'!AH59+'Exhibit F'!AF77</f>
        <v>309.8</v>
      </c>
      <c r="AF83" s="1545"/>
      <c r="AG83" s="194"/>
      <c r="AH83" s="194">
        <f t="shared" si="18"/>
        <v>-38.6</v>
      </c>
      <c r="AI83" s="62"/>
      <c r="AJ83" s="542">
        <f>ROUND(IF(AE83=0,1,AH83/ABS(AE83)),3)</f>
        <v>-0.125</v>
      </c>
    </row>
    <row r="84" spans="1:37" ht="16.5" customHeight="1">
      <c r="A84" s="350" t="s">
        <v>405</v>
      </c>
      <c r="B84" s="350"/>
      <c r="C84" s="194">
        <f>+'Exhibit G'!D60</f>
        <v>103</v>
      </c>
      <c r="D84" s="194"/>
      <c r="E84" s="194">
        <f>+'Exhibit G'!F60</f>
        <v>47.400000000000006</v>
      </c>
      <c r="F84" s="194"/>
      <c r="G84" s="194">
        <f>+'Exhibit G'!H60</f>
        <v>48.299999999999983</v>
      </c>
      <c r="H84" s="194"/>
      <c r="I84" s="194"/>
      <c r="J84" s="194"/>
      <c r="K84" s="194"/>
      <c r="L84" s="194"/>
      <c r="M84" s="194"/>
      <c r="N84" s="194"/>
      <c r="O84" s="194"/>
      <c r="P84" s="194"/>
      <c r="Q84" s="194"/>
      <c r="R84" s="194"/>
      <c r="S84" s="194"/>
      <c r="T84" s="194"/>
      <c r="U84" s="194"/>
      <c r="V84" s="194"/>
      <c r="W84" s="194"/>
      <c r="X84" s="194"/>
      <c r="Y84" s="194"/>
      <c r="Z84" s="194"/>
      <c r="AA84" s="195"/>
      <c r="AB84" s="194">
        <f t="shared" si="17"/>
        <v>198.7</v>
      </c>
      <c r="AC84" s="194"/>
      <c r="AD84" s="861"/>
      <c r="AE84" s="194">
        <f>+'Exhibit G'!AH60</f>
        <v>256.89999999999998</v>
      </c>
      <c r="AF84" s="1545"/>
      <c r="AG84" s="194"/>
      <c r="AH84" s="194">
        <f t="shared" si="18"/>
        <v>-58.2</v>
      </c>
      <c r="AI84" s="62"/>
      <c r="AJ84" s="542">
        <f>ROUND(IF(AE84=0,1,AH84/ABS(AE84)),3)</f>
        <v>-0.22700000000000001</v>
      </c>
    </row>
    <row r="85" spans="1:37" ht="16.5" customHeight="1">
      <c r="A85" s="350" t="s">
        <v>406</v>
      </c>
      <c r="B85" s="350"/>
      <c r="C85" s="194">
        <f>+'Exhibit F'!D78+'Exhibit G'!D61+'Exhibit H'!B42+'Exhibit I'!E45</f>
        <v>284.7</v>
      </c>
      <c r="D85" s="194"/>
      <c r="E85" s="194">
        <f>+'Exhibit F'!F78+'Exhibit G'!F61+'Exhibit H'!D42+'Exhibit I'!G45</f>
        <v>268.7</v>
      </c>
      <c r="F85" s="194"/>
      <c r="G85" s="194">
        <f>+'Exhibit F'!H78+'Exhibit G'!H61+'Exhibit H'!F42+'Exhibit I'!I45</f>
        <v>289.29999999999995</v>
      </c>
      <c r="H85" s="194"/>
      <c r="I85" s="194"/>
      <c r="J85" s="194"/>
      <c r="K85" s="194"/>
      <c r="L85" s="194"/>
      <c r="M85" s="194"/>
      <c r="N85" s="194"/>
      <c r="O85" s="194"/>
      <c r="P85" s="194"/>
      <c r="Q85" s="194"/>
      <c r="R85" s="194"/>
      <c r="S85" s="194"/>
      <c r="T85" s="194"/>
      <c r="U85" s="194"/>
      <c r="V85" s="194"/>
      <c r="W85" s="194"/>
      <c r="X85" s="194"/>
      <c r="Y85" s="194"/>
      <c r="Z85" s="194"/>
      <c r="AA85" s="195"/>
      <c r="AB85" s="194">
        <f t="shared" si="17"/>
        <v>842.7</v>
      </c>
      <c r="AC85" s="194"/>
      <c r="AD85" s="861"/>
      <c r="AE85" s="194">
        <f>+'Exhibit F'!AF78+'Exhibit G'!AH61+'Exhibit H'!AD42+'Exhibit I'!AI45</f>
        <v>963.7</v>
      </c>
      <c r="AF85" s="1545"/>
      <c r="AG85" s="194"/>
      <c r="AH85" s="194">
        <f t="shared" si="18"/>
        <v>-121</v>
      </c>
      <c r="AI85" s="62"/>
      <c r="AJ85" s="859">
        <f>ROUND(IF(AE85=0,0,AH85/ABS(AE85)),3)</f>
        <v>-0.126</v>
      </c>
    </row>
    <row r="86" spans="1:37" ht="16.5" customHeight="1">
      <c r="A86" s="350" t="s">
        <v>407</v>
      </c>
      <c r="B86" s="350"/>
      <c r="C86" s="194">
        <f>+'Exhibit F'!D79+'Exhibit G'!D62+'Exhibit H'!B43+'Exhibit I'!E46</f>
        <v>7.3</v>
      </c>
      <c r="D86" s="194"/>
      <c r="E86" s="194">
        <f>+'Exhibit F'!F79+'Exhibit G'!F62+'Exhibit H'!D43+'Exhibit I'!G46</f>
        <v>0.60000000000000053</v>
      </c>
      <c r="F86" s="194"/>
      <c r="G86" s="194">
        <f>+'Exhibit F'!H79+'Exhibit G'!H62+'Exhibit H'!F43+'Exhibit I'!I46</f>
        <v>8</v>
      </c>
      <c r="H86" s="194"/>
      <c r="I86" s="194"/>
      <c r="J86" s="194"/>
      <c r="K86" s="194"/>
      <c r="L86" s="194"/>
      <c r="M86" s="194"/>
      <c r="N86" s="194"/>
      <c r="O86" s="194"/>
      <c r="P86" s="194"/>
      <c r="Q86" s="194"/>
      <c r="R86" s="194"/>
      <c r="S86" s="194"/>
      <c r="T86" s="194"/>
      <c r="U86" s="194"/>
      <c r="V86" s="194"/>
      <c r="W86" s="194"/>
      <c r="X86" s="194"/>
      <c r="Y86" s="194"/>
      <c r="Z86" s="194"/>
      <c r="AA86" s="195"/>
      <c r="AB86" s="194">
        <f t="shared" si="17"/>
        <v>15.9</v>
      </c>
      <c r="AC86" s="194"/>
      <c r="AD86" s="861"/>
      <c r="AE86" s="194">
        <f>+'Exhibit F'!AF79+'Exhibit G'!AH62+'Exhibit H'!AD43+'Exhibit I'!AI46</f>
        <v>13.4</v>
      </c>
      <c r="AF86" s="1545"/>
      <c r="AG86" s="194"/>
      <c r="AH86" s="194">
        <f t="shared" si="18"/>
        <v>2.5</v>
      </c>
      <c r="AI86" s="62"/>
      <c r="AJ86" s="266">
        <f>ROUND(IF(AE86=0,0,AH86/ABS(AE86)),3)</f>
        <v>0.187</v>
      </c>
    </row>
    <row r="87" spans="1:37" ht="16.5" customHeight="1">
      <c r="A87" s="350" t="s">
        <v>408</v>
      </c>
      <c r="B87" s="350"/>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1"/>
      <c r="AE87" s="194"/>
      <c r="AF87" s="1545"/>
      <c r="AG87" s="194"/>
      <c r="AH87" s="194"/>
      <c r="AI87" s="62"/>
      <c r="AJ87" s="374"/>
    </row>
    <row r="88" spans="1:37" ht="16.5" customHeight="1">
      <c r="A88" s="350" t="s">
        <v>409</v>
      </c>
      <c r="B88" s="350"/>
      <c r="C88" s="194">
        <f>+'Exhibit G'!D64+'Exhibit I'!E48</f>
        <v>3.8000000000000003</v>
      </c>
      <c r="D88" s="194"/>
      <c r="E88" s="194">
        <f>+'Exhibit G'!F64+'Exhibit I'!G48</f>
        <v>0.69999999999999973</v>
      </c>
      <c r="F88" s="194"/>
      <c r="G88" s="194">
        <f>+'Exhibit G'!H64+'Exhibit I'!I48</f>
        <v>2220.1</v>
      </c>
      <c r="H88" s="194"/>
      <c r="I88" s="194"/>
      <c r="J88" s="194"/>
      <c r="K88" s="194"/>
      <c r="L88" s="194"/>
      <c r="M88" s="194"/>
      <c r="N88" s="194"/>
      <c r="O88" s="194"/>
      <c r="P88" s="194"/>
      <c r="Q88" s="194"/>
      <c r="R88" s="194"/>
      <c r="S88" s="194"/>
      <c r="T88" s="194"/>
      <c r="U88" s="194"/>
      <c r="V88" s="194"/>
      <c r="W88" s="194"/>
      <c r="X88" s="194"/>
      <c r="Y88" s="194"/>
      <c r="Z88" s="194"/>
      <c r="AA88" s="195"/>
      <c r="AB88" s="194">
        <f t="shared" si="14"/>
        <v>2224.6</v>
      </c>
      <c r="AC88" s="194"/>
      <c r="AD88" s="861"/>
      <c r="AE88" s="194">
        <f>+'Exhibit G'!AH64+'Exhibit I'!AI48+'Exhibit H'!AD45+'Exhibit F'!AF81</f>
        <v>101.4</v>
      </c>
      <c r="AF88" s="1545"/>
      <c r="AG88" s="194"/>
      <c r="AH88" s="194">
        <f t="shared" si="15"/>
        <v>2123.1999999999998</v>
      </c>
      <c r="AI88" s="62"/>
      <c r="AJ88" s="542">
        <f>ROUND(IF(AE88=0,1,AH88/ABS(AE88)),3)</f>
        <v>20.939</v>
      </c>
    </row>
    <row r="89" spans="1:37" ht="16.5" customHeight="1">
      <c r="A89" s="350" t="s">
        <v>410</v>
      </c>
      <c r="B89" s="350"/>
      <c r="C89" s="194">
        <f>+'Exhibit F'!D82+'Exhibit G'!D65</f>
        <v>0.4</v>
      </c>
      <c r="D89" s="194"/>
      <c r="E89" s="194">
        <f>+'Exhibit F'!F82+'Exhibit G'!F65</f>
        <v>0</v>
      </c>
      <c r="F89" s="194"/>
      <c r="G89" s="194">
        <f>+'Exhibit F'!H82+'Exhibit G'!H65</f>
        <v>0</v>
      </c>
      <c r="H89" s="194"/>
      <c r="I89" s="194"/>
      <c r="J89" s="194"/>
      <c r="K89" s="194"/>
      <c r="L89" s="194"/>
      <c r="M89" s="194"/>
      <c r="N89" s="194"/>
      <c r="O89" s="194"/>
      <c r="P89" s="194"/>
      <c r="Q89" s="194"/>
      <c r="R89" s="194"/>
      <c r="S89" s="194"/>
      <c r="T89" s="194"/>
      <c r="U89" s="194"/>
      <c r="V89" s="194"/>
      <c r="W89" s="194"/>
      <c r="X89" s="194"/>
      <c r="Y89" s="194"/>
      <c r="Z89" s="194"/>
      <c r="AA89" s="195"/>
      <c r="AB89" s="194">
        <f t="shared" si="14"/>
        <v>0.4</v>
      </c>
      <c r="AC89" s="194"/>
      <c r="AD89" s="861"/>
      <c r="AE89" s="194">
        <f>+'Exhibit F'!AF82+'Exhibit G'!AH65</f>
        <v>13.1</v>
      </c>
      <c r="AF89" s="1545"/>
      <c r="AG89" s="194"/>
      <c r="AH89" s="194">
        <f t="shared" si="15"/>
        <v>-12.7</v>
      </c>
      <c r="AI89" s="62"/>
      <c r="AJ89" s="542">
        <f>ROUND(IF(AE89=0,1,AH89/ABS(AE89)),3)</f>
        <v>-0.96899999999999997</v>
      </c>
    </row>
    <row r="90" spans="1:37" ht="16.5" customHeight="1">
      <c r="A90" s="350" t="s">
        <v>411</v>
      </c>
      <c r="B90" s="350"/>
      <c r="C90" s="194">
        <f>+'Exhibit F'!D83+'Exhibit G'!D66</f>
        <v>0.8</v>
      </c>
      <c r="D90" s="194"/>
      <c r="E90" s="194">
        <f>+'Exhibit F'!F83+'Exhibit G'!F66</f>
        <v>0.39999999999999991</v>
      </c>
      <c r="F90" s="194"/>
      <c r="G90" s="194">
        <f>+'Exhibit F'!H83+'Exhibit G'!H66</f>
        <v>0.30000000000000004</v>
      </c>
      <c r="H90" s="194"/>
      <c r="I90" s="194"/>
      <c r="J90" s="194"/>
      <c r="K90" s="194"/>
      <c r="L90" s="194"/>
      <c r="M90" s="194"/>
      <c r="N90" s="194"/>
      <c r="O90" s="194"/>
      <c r="P90" s="194"/>
      <c r="Q90" s="194"/>
      <c r="R90" s="194"/>
      <c r="S90" s="194"/>
      <c r="T90" s="194"/>
      <c r="U90" s="194"/>
      <c r="V90" s="194"/>
      <c r="W90" s="194"/>
      <c r="X90" s="194"/>
      <c r="Y90" s="194"/>
      <c r="Z90" s="194"/>
      <c r="AA90" s="195"/>
      <c r="AB90" s="194">
        <f t="shared" si="14"/>
        <v>1.5</v>
      </c>
      <c r="AC90" s="194"/>
      <c r="AD90" s="861"/>
      <c r="AE90" s="194">
        <f>+'Exhibit F'!AF83+'Exhibit G'!AH66</f>
        <v>2.4</v>
      </c>
      <c r="AF90" s="1545"/>
      <c r="AG90" s="194"/>
      <c r="AH90" s="194">
        <f t="shared" si="15"/>
        <v>-0.9</v>
      </c>
      <c r="AI90" s="62"/>
      <c r="AJ90" s="542">
        <f t="shared" ref="AJ90:AJ92" si="19">ROUND(IF(AE90=0,0,AH90/ABS(AE90)),3)</f>
        <v>-0.375</v>
      </c>
    </row>
    <row r="91" spans="1:37" ht="16.5" customHeight="1">
      <c r="A91" s="350" t="s">
        <v>412</v>
      </c>
      <c r="B91" s="350"/>
      <c r="C91" s="194">
        <f>+'Exhibit F'!D84+'Exhibit G'!D67+'Exhibit I'!E50</f>
        <v>4.9000000000000004</v>
      </c>
      <c r="D91" s="194"/>
      <c r="E91" s="194">
        <f>+'Exhibit F'!F84+'Exhibit G'!F67+'Exhibit I'!G50</f>
        <v>4.4999999999999991</v>
      </c>
      <c r="F91" s="194"/>
      <c r="G91" s="194">
        <f>+'Exhibit F'!H84+'Exhibit G'!H67+'Exhibit I'!I50</f>
        <v>73.5</v>
      </c>
      <c r="H91" s="194"/>
      <c r="I91" s="194"/>
      <c r="J91" s="194"/>
      <c r="K91" s="194"/>
      <c r="L91" s="194"/>
      <c r="M91" s="194"/>
      <c r="N91" s="194"/>
      <c r="O91" s="194"/>
      <c r="P91" s="194"/>
      <c r="Q91" s="194"/>
      <c r="R91" s="194"/>
      <c r="S91" s="194"/>
      <c r="T91" s="194"/>
      <c r="U91" s="194"/>
      <c r="V91" s="194"/>
      <c r="W91" s="194"/>
      <c r="X91" s="194"/>
      <c r="Y91" s="194"/>
      <c r="Z91" s="194"/>
      <c r="AA91" s="195"/>
      <c r="AB91" s="194">
        <f t="shared" si="14"/>
        <v>82.9</v>
      </c>
      <c r="AC91" s="194"/>
      <c r="AD91" s="861"/>
      <c r="AE91" s="194">
        <f>+'Exhibit F'!AF84+'Exhibit G'!AH67+'Exhibit I'!AI50</f>
        <v>32.5</v>
      </c>
      <c r="AF91" s="1545"/>
      <c r="AG91" s="194"/>
      <c r="AH91" s="194">
        <f t="shared" si="15"/>
        <v>50.4</v>
      </c>
      <c r="AI91" s="62"/>
      <c r="AJ91" s="266">
        <f t="shared" si="19"/>
        <v>1.5509999999999999</v>
      </c>
    </row>
    <row r="92" spans="1:37" ht="16.5" customHeight="1">
      <c r="A92" s="350" t="s">
        <v>413</v>
      </c>
      <c r="B92" s="350"/>
      <c r="C92" s="194">
        <f>+'Exhibit F'!D85+'Exhibit G'!D68+'Exhibit H'!B46+'Exhibit I'!E51</f>
        <v>60.6</v>
      </c>
      <c r="D92" s="194"/>
      <c r="E92" s="194">
        <f>+'Exhibit F'!F85+'Exhibit G'!F68+'Exhibit H'!D46+'Exhibit I'!G51</f>
        <v>26.099999999999998</v>
      </c>
      <c r="F92" s="194"/>
      <c r="G92" s="194">
        <f>+'Exhibit F'!H85+'Exhibit G'!H68+'Exhibit H'!F46+'Exhibit I'!I51</f>
        <v>1.3000000000000003</v>
      </c>
      <c r="H92" s="194"/>
      <c r="I92" s="194"/>
      <c r="J92" s="194"/>
      <c r="K92" s="194"/>
      <c r="L92" s="194"/>
      <c r="M92" s="194"/>
      <c r="N92" s="194"/>
      <c r="O92" s="194"/>
      <c r="P92" s="194"/>
      <c r="Q92" s="194"/>
      <c r="R92" s="194"/>
      <c r="S92" s="194"/>
      <c r="T92" s="194"/>
      <c r="U92" s="194"/>
      <c r="V92" s="194"/>
      <c r="W92" s="194"/>
      <c r="X92" s="194"/>
      <c r="Y92" s="194"/>
      <c r="Z92" s="194"/>
      <c r="AA92" s="195"/>
      <c r="AB92" s="194">
        <f t="shared" si="14"/>
        <v>88</v>
      </c>
      <c r="AC92" s="194"/>
      <c r="AD92" s="861"/>
      <c r="AE92" s="194">
        <f>+'Exhibit F'!AF85+'Exhibit G'!AH68+'Exhibit H'!AD46+'Exhibit I'!AI51</f>
        <v>91.899999999999991</v>
      </c>
      <c r="AF92" s="1545"/>
      <c r="AG92" s="194"/>
      <c r="AH92" s="194">
        <f t="shared" si="15"/>
        <v>-3.9</v>
      </c>
      <c r="AI92" s="62"/>
      <c r="AJ92" s="542">
        <f t="shared" si="19"/>
        <v>-4.2000000000000003E-2</v>
      </c>
    </row>
    <row r="93" spans="1:37" ht="16.5" customHeight="1">
      <c r="A93" s="350" t="s">
        <v>414</v>
      </c>
      <c r="B93" s="350"/>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1"/>
      <c r="AE93" s="194"/>
      <c r="AF93" s="1545"/>
      <c r="AG93" s="194"/>
      <c r="AH93" s="194"/>
      <c r="AI93" s="62"/>
      <c r="AJ93" s="266"/>
    </row>
    <row r="94" spans="1:37" ht="16.5" customHeight="1">
      <c r="A94" s="350" t="s">
        <v>415</v>
      </c>
      <c r="B94" s="350"/>
      <c r="C94" s="194">
        <f>+'Exhibit F'!D87+'Exhibit G'!D70+'Exhibit I'!E53</f>
        <v>0.4</v>
      </c>
      <c r="D94" s="194"/>
      <c r="E94" s="194">
        <f>+'Exhibit F'!F87+'Exhibit G'!F70+'Exhibit I'!G53</f>
        <v>18.499999999999996</v>
      </c>
      <c r="F94" s="194"/>
      <c r="G94" s="194">
        <f>+'Exhibit F'!H87+'Exhibit G'!H70+'Exhibit I'!I53</f>
        <v>43.6</v>
      </c>
      <c r="H94" s="194"/>
      <c r="I94" s="194"/>
      <c r="J94" s="194"/>
      <c r="K94" s="194"/>
      <c r="L94" s="194"/>
      <c r="M94" s="194"/>
      <c r="N94" s="194"/>
      <c r="O94" s="194"/>
      <c r="P94" s="194"/>
      <c r="Q94" s="194"/>
      <c r="R94" s="194"/>
      <c r="S94" s="194"/>
      <c r="T94" s="194"/>
      <c r="U94" s="194"/>
      <c r="V94" s="194"/>
      <c r="W94" s="194"/>
      <c r="X94" s="194"/>
      <c r="Y94" s="194"/>
      <c r="Z94" s="194"/>
      <c r="AA94" s="195"/>
      <c r="AB94" s="194">
        <f t="shared" si="14"/>
        <v>62.5</v>
      </c>
      <c r="AC94" s="194"/>
      <c r="AD94" s="861"/>
      <c r="AE94" s="194">
        <f>+'Exhibit F'!AF87+'Exhibit G'!AH70+'Exhibit I'!AI53</f>
        <v>68.8</v>
      </c>
      <c r="AF94" s="1545"/>
      <c r="AG94" s="194"/>
      <c r="AH94" s="194">
        <f t="shared" si="15"/>
        <v>-6.3</v>
      </c>
      <c r="AI94" s="62"/>
      <c r="AJ94" s="542">
        <f>ROUND(IF(AE94=0,0,AH94/ABS(AE94)),3)</f>
        <v>-9.1999999999999998E-2</v>
      </c>
    </row>
    <row r="95" spans="1:37" ht="16.5" customHeight="1">
      <c r="A95" s="350" t="s">
        <v>416</v>
      </c>
      <c r="B95" s="350"/>
      <c r="C95" s="194">
        <f>+'Exhibit G'!D71+'Exhibit F'!D88</f>
        <v>1.1000000000000001</v>
      </c>
      <c r="D95" s="194"/>
      <c r="E95" s="194">
        <f>+'Exhibit G'!F71+'Exhibit F'!F88</f>
        <v>1.2</v>
      </c>
      <c r="F95" s="194"/>
      <c r="G95" s="194">
        <f>+'Exhibit G'!H71+'Exhibit F'!H88</f>
        <v>0.69999999999999973</v>
      </c>
      <c r="H95" s="194"/>
      <c r="I95" s="194"/>
      <c r="J95" s="194"/>
      <c r="K95" s="194"/>
      <c r="L95" s="194"/>
      <c r="M95" s="194"/>
      <c r="N95" s="194"/>
      <c r="O95" s="194"/>
      <c r="P95" s="194"/>
      <c r="Q95" s="194"/>
      <c r="R95" s="194"/>
      <c r="S95" s="194"/>
      <c r="T95" s="194"/>
      <c r="U95" s="194"/>
      <c r="V95" s="194"/>
      <c r="W95" s="194"/>
      <c r="X95" s="194"/>
      <c r="Y95" s="194"/>
      <c r="Z95" s="194"/>
      <c r="AA95" s="195"/>
      <c r="AB95" s="194">
        <f t="shared" si="14"/>
        <v>3</v>
      </c>
      <c r="AC95" s="194"/>
      <c r="AD95" s="861"/>
      <c r="AE95" s="194">
        <f>+'Exhibit G'!AH71+'Exhibit F'!AF88</f>
        <v>1.1000000000000001</v>
      </c>
      <c r="AF95" s="1545"/>
      <c r="AG95" s="194"/>
      <c r="AH95" s="194">
        <f t="shared" si="15"/>
        <v>1.9</v>
      </c>
      <c r="AI95" s="62"/>
      <c r="AJ95" s="542">
        <f>ROUND(IF(AE95=0,0,AH95/ABS(AE95)),3)</f>
        <v>1.7270000000000001</v>
      </c>
    </row>
    <row r="96" spans="1:37" ht="16.5" customHeight="1">
      <c r="A96" s="350" t="s">
        <v>417</v>
      </c>
      <c r="B96" s="350"/>
      <c r="C96" s="194">
        <f>+'Exhibit F'!D89+'Exhibit G'!D72+'Exhibit I'!E54</f>
        <v>6.6</v>
      </c>
      <c r="D96" s="194"/>
      <c r="E96" s="194">
        <f>+'Exhibit F'!F89+'Exhibit G'!F72+'Exhibit I'!G54</f>
        <v>11.999999999999998</v>
      </c>
      <c r="F96" s="194"/>
      <c r="G96" s="194">
        <f>+'Exhibit F'!H89+'Exhibit G'!H72+'Exhibit I'!I54</f>
        <v>2.6999999999999984</v>
      </c>
      <c r="H96" s="194"/>
      <c r="I96" s="194"/>
      <c r="J96" s="194"/>
      <c r="K96" s="194"/>
      <c r="L96" s="194"/>
      <c r="M96" s="194"/>
      <c r="N96" s="194"/>
      <c r="O96" s="194"/>
      <c r="P96" s="194"/>
      <c r="Q96" s="194"/>
      <c r="R96" s="194"/>
      <c r="S96" s="194"/>
      <c r="T96" s="194"/>
      <c r="U96" s="194"/>
      <c r="V96" s="194"/>
      <c r="W96" s="194"/>
      <c r="X96" s="194"/>
      <c r="Y96" s="194"/>
      <c r="Z96" s="194"/>
      <c r="AA96" s="195"/>
      <c r="AB96" s="194">
        <f t="shared" si="14"/>
        <v>21.3</v>
      </c>
      <c r="AC96" s="194"/>
      <c r="AD96" s="861"/>
      <c r="AE96" s="194">
        <f>+'Exhibit F'!AF89+'Exhibit G'!AH72+'Exhibit I'!AI54</f>
        <v>21.9</v>
      </c>
      <c r="AF96" s="1545"/>
      <c r="AG96" s="194"/>
      <c r="AH96" s="194">
        <f t="shared" si="15"/>
        <v>-0.6</v>
      </c>
      <c r="AI96" s="62"/>
      <c r="AJ96" s="374">
        <f t="shared" ref="AJ96:AJ103" si="20">ROUND(IF(AE96=0,0,AH96/ABS(AE96)),3)</f>
        <v>-2.7E-2</v>
      </c>
    </row>
    <row r="97" spans="1:37" ht="16.5" customHeight="1">
      <c r="A97" s="350" t="s">
        <v>418</v>
      </c>
      <c r="B97" s="350"/>
      <c r="C97" s="194">
        <f>+'Exhibit F'!D90+'Exhibit G'!D73+'Exhibit I'!E55</f>
        <v>9.3000000000000007</v>
      </c>
      <c r="D97" s="194"/>
      <c r="E97" s="194">
        <f>+'Exhibit F'!F90+'Exhibit G'!F73+'Exhibit I'!G55</f>
        <v>2.0999999999999992</v>
      </c>
      <c r="F97" s="194"/>
      <c r="G97" s="194">
        <f>+'Exhibit F'!H90+'Exhibit G'!H73+'Exhibit I'!I55</f>
        <v>65.5</v>
      </c>
      <c r="H97" s="194"/>
      <c r="I97" s="194"/>
      <c r="J97" s="194"/>
      <c r="K97" s="194"/>
      <c r="L97" s="194"/>
      <c r="M97" s="194"/>
      <c r="N97" s="194"/>
      <c r="O97" s="194"/>
      <c r="P97" s="194"/>
      <c r="Q97" s="194"/>
      <c r="R97" s="194"/>
      <c r="S97" s="194"/>
      <c r="T97" s="194"/>
      <c r="U97" s="194"/>
      <c r="V97" s="194"/>
      <c r="W97" s="194"/>
      <c r="X97" s="194"/>
      <c r="Y97" s="194"/>
      <c r="Z97" s="194"/>
      <c r="AA97" s="195"/>
      <c r="AB97" s="194">
        <f>ROUND(SUM(C97:Y97),1)</f>
        <v>76.900000000000006</v>
      </c>
      <c r="AC97" s="194"/>
      <c r="AD97" s="861"/>
      <c r="AE97" s="194">
        <f>+'Exhibit F'!AF90+'Exhibit G'!AH73+'Exhibit I'!AI55</f>
        <v>44.400000000000006</v>
      </c>
      <c r="AF97" s="1545"/>
      <c r="AG97" s="194"/>
      <c r="AH97" s="194">
        <f t="shared" si="15"/>
        <v>32.5</v>
      </c>
      <c r="AI97" s="62"/>
      <c r="AJ97" s="374">
        <f t="shared" si="20"/>
        <v>0.73199999999999998</v>
      </c>
    </row>
    <row r="98" spans="1:37" ht="16.5" customHeight="1">
      <c r="A98" s="350" t="s">
        <v>419</v>
      </c>
      <c r="B98" s="350"/>
      <c r="C98" s="194">
        <f>+'Exhibit F'!D91+'Exhibit G'!D74+'Exhibit H'!B48</f>
        <v>438.3</v>
      </c>
      <c r="D98" s="194"/>
      <c r="E98" s="194">
        <f>+'Exhibit F'!F91+'Exhibit G'!F74+'Exhibit H'!D48</f>
        <v>324</v>
      </c>
      <c r="F98" s="194"/>
      <c r="G98" s="194">
        <f>+'Exhibit F'!H91+'Exhibit G'!H74+'Exhibit H'!F48</f>
        <v>357.1</v>
      </c>
      <c r="H98" s="194"/>
      <c r="I98" s="194"/>
      <c r="J98" s="194"/>
      <c r="K98" s="194"/>
      <c r="L98" s="194"/>
      <c r="M98" s="194"/>
      <c r="N98" s="194"/>
      <c r="O98" s="194"/>
      <c r="P98" s="194"/>
      <c r="Q98" s="194"/>
      <c r="R98" s="194"/>
      <c r="S98" s="194"/>
      <c r="T98" s="194"/>
      <c r="U98" s="194"/>
      <c r="V98" s="194"/>
      <c r="W98" s="194"/>
      <c r="X98" s="194"/>
      <c r="Y98" s="194"/>
      <c r="Z98" s="194"/>
      <c r="AA98" s="195"/>
      <c r="AB98" s="194">
        <f t="shared" si="14"/>
        <v>1119.4000000000001</v>
      </c>
      <c r="AC98" s="194"/>
      <c r="AD98" s="861"/>
      <c r="AE98" s="194">
        <f>+'Exhibit F'!AF91+'Exhibit G'!AH74+'Exhibit H'!AD48</f>
        <v>1119.3000000000002</v>
      </c>
      <c r="AF98" s="1545"/>
      <c r="AG98" s="194"/>
      <c r="AH98" s="194">
        <f t="shared" si="15"/>
        <v>0.1</v>
      </c>
      <c r="AI98" s="62"/>
      <c r="AJ98" s="859">
        <f t="shared" si="20"/>
        <v>0</v>
      </c>
    </row>
    <row r="99" spans="1:37" ht="16.5" customHeight="1">
      <c r="A99" s="350" t="s">
        <v>420</v>
      </c>
      <c r="B99" s="350"/>
      <c r="C99" s="194">
        <f>+'Exhibit G'!D75+'Exhibit F'!D92+'Exhibit I'!E56</f>
        <v>13</v>
      </c>
      <c r="D99" s="194"/>
      <c r="E99" s="194">
        <f>+'Exhibit G'!F75+'Exhibit F'!F92+'Exhibit I'!G56</f>
        <v>10.3</v>
      </c>
      <c r="F99" s="194"/>
      <c r="G99" s="194">
        <f>+'Exhibit G'!H75+'Exhibit F'!H92+'Exhibit I'!I56</f>
        <v>11.699999999999996</v>
      </c>
      <c r="H99" s="194"/>
      <c r="I99" s="194"/>
      <c r="J99" s="194"/>
      <c r="K99" s="194"/>
      <c r="L99" s="194"/>
      <c r="M99" s="194"/>
      <c r="N99" s="194"/>
      <c r="O99" s="194"/>
      <c r="P99" s="194"/>
      <c r="Q99" s="194"/>
      <c r="R99" s="194"/>
      <c r="S99" s="194"/>
      <c r="T99" s="194"/>
      <c r="U99" s="194"/>
      <c r="V99" s="194"/>
      <c r="W99" s="194"/>
      <c r="X99" s="194"/>
      <c r="Y99" s="194"/>
      <c r="Z99" s="194"/>
      <c r="AA99" s="195"/>
      <c r="AB99" s="194">
        <f t="shared" si="14"/>
        <v>35</v>
      </c>
      <c r="AC99" s="194"/>
      <c r="AD99" s="861"/>
      <c r="AE99" s="194">
        <f>+'Exhibit G'!AH75+'Exhibit F'!AF92+'Exhibit I'!AI56</f>
        <v>34.700000000000003</v>
      </c>
      <c r="AF99" s="1545"/>
      <c r="AG99" s="194"/>
      <c r="AH99" s="194">
        <f t="shared" si="15"/>
        <v>0.3</v>
      </c>
      <c r="AI99" s="62"/>
      <c r="AJ99" s="374">
        <f t="shared" si="20"/>
        <v>8.9999999999999993E-3</v>
      </c>
    </row>
    <row r="100" spans="1:37" ht="16.5" customHeight="1">
      <c r="A100" s="350" t="s">
        <v>421</v>
      </c>
      <c r="B100" s="350"/>
      <c r="C100" s="194">
        <f>+'Exhibit F'!D93+'Exhibit G'!D76+'Exhibit I'!E57</f>
        <v>22.6</v>
      </c>
      <c r="D100" s="194"/>
      <c r="E100" s="194">
        <f>+'Exhibit F'!F93+'Exhibit G'!F76+'Exhibit I'!G57</f>
        <v>1.8000000000000007</v>
      </c>
      <c r="F100" s="194"/>
      <c r="G100" s="194">
        <f>+'Exhibit F'!H93+'Exhibit G'!H76+'Exhibit I'!I57</f>
        <v>2.9999999999999991</v>
      </c>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14"/>
        <v>27.4</v>
      </c>
      <c r="AC100" s="194"/>
      <c r="AD100" s="861"/>
      <c r="AE100" s="194">
        <f>+'Exhibit F'!AF93+'Exhibit G'!AH76+'Exhibit I'!AI57</f>
        <v>17.700000000000003</v>
      </c>
      <c r="AF100" s="1545"/>
      <c r="AG100" s="194"/>
      <c r="AH100" s="194">
        <f t="shared" si="15"/>
        <v>9.6999999999999993</v>
      </c>
      <c r="AI100" s="62"/>
      <c r="AJ100" s="859">
        <f t="shared" si="20"/>
        <v>0.54800000000000004</v>
      </c>
    </row>
    <row r="101" spans="1:37" ht="16.5" customHeight="1">
      <c r="A101" s="350" t="s">
        <v>422</v>
      </c>
      <c r="B101" s="350"/>
      <c r="C101" s="194">
        <f>+'Exhibit F'!D94+'Exhibit G'!D77</f>
        <v>1</v>
      </c>
      <c r="D101" s="194"/>
      <c r="E101" s="194">
        <f>+'Exhibit F'!F94+'Exhibit G'!F77</f>
        <v>1.1000000000000001</v>
      </c>
      <c r="F101" s="194"/>
      <c r="G101" s="194">
        <f>+'Exhibit F'!H94+'Exhibit G'!H77</f>
        <v>1</v>
      </c>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14"/>
        <v>3.1</v>
      </c>
      <c r="AC101" s="194"/>
      <c r="AD101" s="861"/>
      <c r="AE101" s="194">
        <f>+'Exhibit F'!AF94+'Exhibit G'!AH77</f>
        <v>3.5</v>
      </c>
      <c r="AF101" s="1545"/>
      <c r="AG101" s="194"/>
      <c r="AH101" s="194">
        <f t="shared" si="15"/>
        <v>-0.4</v>
      </c>
      <c r="AI101" s="62"/>
      <c r="AJ101" s="374">
        <f t="shared" si="20"/>
        <v>-0.114</v>
      </c>
    </row>
    <row r="102" spans="1:37" ht="16.5" customHeight="1">
      <c r="A102" s="350" t="s">
        <v>423</v>
      </c>
      <c r="B102" s="350"/>
      <c r="C102" s="194">
        <f>+'Exhibit F'!D95+'Exhibit G'!D78+'Exhibit I'!E58+'Exhibit H'!B49</f>
        <v>21.7</v>
      </c>
      <c r="D102" s="194"/>
      <c r="E102" s="194">
        <f>+'Exhibit F'!F95+'Exhibit G'!F78+'Exhibit I'!G58+'Exhibit H'!D49</f>
        <v>62.7</v>
      </c>
      <c r="F102" s="194"/>
      <c r="G102" s="194">
        <f>+'Exhibit F'!H95+'Exhibit G'!H78+'Exhibit I'!I58+'Exhibit H'!F49</f>
        <v>101.89999999999999</v>
      </c>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14"/>
        <v>186.3</v>
      </c>
      <c r="AC102" s="194"/>
      <c r="AD102" s="861"/>
      <c r="AE102" s="194">
        <f>+'Exhibit F'!AF95+'Exhibit G'!AH78+'Exhibit I'!AI58+'Exhibit H'!AD49</f>
        <v>259.60000000000002</v>
      </c>
      <c r="AF102" s="1545"/>
      <c r="AG102" s="194"/>
      <c r="AH102" s="194">
        <f t="shared" si="15"/>
        <v>-73.3</v>
      </c>
      <c r="AI102" s="62"/>
      <c r="AJ102" s="859">
        <f t="shared" si="20"/>
        <v>-0.28199999999999997</v>
      </c>
    </row>
    <row r="103" spans="1:37" ht="16.5" customHeight="1">
      <c r="A103" s="350" t="s">
        <v>424</v>
      </c>
      <c r="B103" s="350"/>
      <c r="C103" s="194">
        <f>+'Exhibit F'!D96+'Exhibit G'!D79+'Exhibit I'!E59+'Exhibit H'!B50</f>
        <v>1.4000000000000001</v>
      </c>
      <c r="D103" s="194"/>
      <c r="E103" s="194">
        <f>+'Exhibit F'!F96+'Exhibit G'!F79+'Exhibit I'!G59+'Exhibit H'!D50</f>
        <v>1.6</v>
      </c>
      <c r="F103" s="194"/>
      <c r="G103" s="194">
        <f>+'Exhibit F'!H96+'Exhibit G'!H79+'Exhibit I'!I59+'Exhibit H'!F50</f>
        <v>3.8999999999999995</v>
      </c>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14"/>
        <v>6.9</v>
      </c>
      <c r="AC103" s="194"/>
      <c r="AD103" s="861"/>
      <c r="AE103" s="194">
        <f>+'Exhibit F'!AF96+'Exhibit G'!AH79+'Exhibit I'!AI59+'Exhibit H'!AD50</f>
        <v>5.0999999999999996</v>
      </c>
      <c r="AF103" s="1545"/>
      <c r="AG103" s="194"/>
      <c r="AH103" s="194">
        <f t="shared" si="15"/>
        <v>1.8</v>
      </c>
      <c r="AI103" s="62"/>
      <c r="AJ103" s="374">
        <f t="shared" si="20"/>
        <v>0.35299999999999998</v>
      </c>
    </row>
    <row r="104" spans="1:37" ht="16.5" customHeight="1">
      <c r="A104" s="350" t="s">
        <v>425</v>
      </c>
      <c r="B104" s="350"/>
      <c r="C104" s="194">
        <f>+'Exhibit G'!D80</f>
        <v>36.4</v>
      </c>
      <c r="D104" s="194"/>
      <c r="E104" s="194">
        <f>+'Exhibit G'!F80</f>
        <v>41.000000000000007</v>
      </c>
      <c r="F104" s="194"/>
      <c r="G104" s="194">
        <f>+'Exhibit G'!H80</f>
        <v>26.700000000000003</v>
      </c>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14"/>
        <v>104.1</v>
      </c>
      <c r="AC104" s="194"/>
      <c r="AD104" s="861"/>
      <c r="AE104" s="194">
        <f>+'Exhibit G'!AH80</f>
        <v>114.5</v>
      </c>
      <c r="AF104" s="1545"/>
      <c r="AG104" s="194"/>
      <c r="AH104" s="194">
        <f t="shared" si="15"/>
        <v>-10.4</v>
      </c>
      <c r="AI104" s="62"/>
      <c r="AJ104" s="374">
        <f>ROUND(IF(AE104=0,0,AH104/ABS(AE104)),3)</f>
        <v>-9.0999999999999998E-2</v>
      </c>
    </row>
    <row r="105" spans="1:37" s="129" customFormat="1" ht="16.5" customHeight="1">
      <c r="A105" s="83" t="s">
        <v>426</v>
      </c>
      <c r="B105" s="57"/>
      <c r="C105" s="673">
        <f>ROUND(SUM(C64:C104),1)</f>
        <v>2717.2</v>
      </c>
      <c r="D105" s="418"/>
      <c r="E105" s="673">
        <f>ROUND(SUM(E64:E104),1)</f>
        <v>3396.5</v>
      </c>
      <c r="F105" s="418"/>
      <c r="G105" s="673">
        <f>ROUND(SUM(G64:G104),1)</f>
        <v>4879.3</v>
      </c>
      <c r="H105" s="13"/>
      <c r="I105" s="673">
        <f>ROUND(SUM(I64:I104),1)</f>
        <v>0</v>
      </c>
      <c r="J105" s="13"/>
      <c r="K105" s="673">
        <f>ROUND(SUM(K64:K104),1)</f>
        <v>0</v>
      </c>
      <c r="L105" s="13"/>
      <c r="M105" s="673">
        <f>ROUND(SUM(M64:M104),1)</f>
        <v>0</v>
      </c>
      <c r="N105" s="13"/>
      <c r="O105" s="673">
        <f>ROUND(SUM(O64:O104),1)</f>
        <v>0</v>
      </c>
      <c r="P105" s="13"/>
      <c r="Q105" s="673">
        <f>ROUND(SUM(Q64:Q104),1)</f>
        <v>0</v>
      </c>
      <c r="R105" s="13"/>
      <c r="S105" s="673">
        <f>ROUND(SUM(S64:S104),1)</f>
        <v>0</v>
      </c>
      <c r="T105" s="13"/>
      <c r="U105" s="673">
        <f>ROUND(SUM(U64:U104),1)</f>
        <v>0</v>
      </c>
      <c r="V105" s="13"/>
      <c r="W105" s="673">
        <f>ROUND(SUM(W64:W104),1)</f>
        <v>0</v>
      </c>
      <c r="X105" s="40"/>
      <c r="Y105" s="673">
        <f>ROUND(SUM(Y64:Y104),1)</f>
        <v>0</v>
      </c>
      <c r="Z105" s="40"/>
      <c r="AA105" s="69"/>
      <c r="AB105" s="673">
        <f>ROUND(SUM(AB64:AB104),1)</f>
        <v>10993</v>
      </c>
      <c r="AC105" s="13"/>
      <c r="AD105" s="14"/>
      <c r="AE105" s="673">
        <f>ROUND(SUM(AE64:AE104),1)</f>
        <v>7475.4</v>
      </c>
      <c r="AF105" s="75"/>
      <c r="AG105" s="862"/>
      <c r="AH105" s="673">
        <f>ROUND(SUM(AH64:AH104),1)</f>
        <v>3517.6</v>
      </c>
      <c r="AI105" s="13"/>
      <c r="AJ105" s="1014">
        <f>ROUND(IF(AE105=0,0,AH105/ABS(AE105)),3)</f>
        <v>0.47099999999999997</v>
      </c>
    </row>
    <row r="106" spans="1:37" s="129" customFormat="1" ht="16.5" customHeight="1">
      <c r="A106" s="187"/>
      <c r="B106" s="18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t="s">
        <v>103</v>
      </c>
      <c r="Z106" s="197"/>
      <c r="AA106" s="198"/>
      <c r="AB106" s="197" t="s">
        <v>103</v>
      </c>
      <c r="AC106" s="197"/>
      <c r="AD106" s="198"/>
      <c r="AE106" s="197"/>
      <c r="AF106" s="1546"/>
      <c r="AG106" s="197"/>
      <c r="AH106" s="197"/>
      <c r="AI106" s="187"/>
      <c r="AJ106" s="74"/>
    </row>
    <row r="107" spans="1:37" ht="16.5" customHeight="1">
      <c r="A107" s="62" t="s">
        <v>120</v>
      </c>
      <c r="B107" s="62"/>
      <c r="C107" s="196">
        <f>+'Exhibit F'!D99+'Exhibit G'!D83+'Exhibit H'!B53+'Exhibit I'!E62</f>
        <v>9110.0000000000018</v>
      </c>
      <c r="D107" s="194"/>
      <c r="E107" s="196">
        <f>+'Exhibit F'!F99+'Exhibit G'!F83+'Exhibit H'!D53+'Exhibit I'!G62</f>
        <v>7137.7999999999993</v>
      </c>
      <c r="F107" s="194"/>
      <c r="G107" s="196">
        <f>+'Exhibit F'!H99+'Exhibit G'!H83+'Exhibit H'!F53+'Exhibit I'!I62</f>
        <v>13684.9</v>
      </c>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29932.7</v>
      </c>
      <c r="AC107" s="194"/>
      <c r="AD107" s="861"/>
      <c r="AE107" s="196">
        <f>+'Exhibit F'!AF99+'Exhibit G'!AH83+'Exhibit H'!AD53+'Exhibit I'!AI62</f>
        <v>25171.5</v>
      </c>
      <c r="AF107" s="1545"/>
      <c r="AG107" s="194"/>
      <c r="AH107" s="196">
        <f>ROUND(SUM(AB107-AE107),1)</f>
        <v>4761.2</v>
      </c>
      <c r="AI107" s="62"/>
      <c r="AJ107" s="863">
        <f>ROUND(IF(AE107=0,0,AH107/ABS(AE107)),3)</f>
        <v>0.189</v>
      </c>
    </row>
    <row r="108" spans="1:37" ht="16.5" customHeight="1">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1"/>
      <c r="AE108" s="194"/>
      <c r="AF108" s="1545"/>
      <c r="AG108" s="194"/>
      <c r="AH108" s="194"/>
      <c r="AI108" s="62"/>
      <c r="AJ108" s="1016"/>
    </row>
    <row r="109" spans="1:37" ht="16.5" customHeight="1">
      <c r="A109" s="3" t="s">
        <v>427</v>
      </c>
      <c r="B109" s="364"/>
      <c r="C109" s="357">
        <f>ROUND(SUM(C107+C105+C60),1)</f>
        <v>25817.5</v>
      </c>
      <c r="D109" s="13"/>
      <c r="E109" s="357">
        <f>ROUND(SUM(E107+E105+E60),1)</f>
        <v>17190.099999999999</v>
      </c>
      <c r="F109" s="13"/>
      <c r="G109" s="357">
        <f>ROUND(SUM(G107+G105+G60),1)</f>
        <v>35147.4</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2"/>
      <c r="AA109" s="3"/>
      <c r="AB109" s="357">
        <f>ROUND(SUM(AB107+AB105+AB60),1)</f>
        <v>78155</v>
      </c>
      <c r="AC109" s="13"/>
      <c r="AD109" s="14"/>
      <c r="AE109" s="357">
        <f>ROUND(SUM(AE107+AE105+AE60),1)</f>
        <v>65855.399999999994</v>
      </c>
      <c r="AF109" s="75"/>
      <c r="AG109" s="862"/>
      <c r="AH109" s="357">
        <f>ROUND(SUM(AH107+AH105+AH60),1)</f>
        <v>12299.6</v>
      </c>
      <c r="AI109" s="13"/>
      <c r="AJ109" s="860">
        <f>ROUND(IF(AE109=0,0,AH109/ABS(AE109)),3)</f>
        <v>0.187</v>
      </c>
      <c r="AK109" s="129"/>
    </row>
    <row r="110" spans="1:37" ht="16.5" customHeight="1">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1"/>
      <c r="AE110" s="11"/>
      <c r="AF110" s="1545"/>
      <c r="AG110" s="194"/>
      <c r="AH110" s="264"/>
      <c r="AI110" s="62"/>
      <c r="AJ110" s="268"/>
    </row>
    <row r="111" spans="1:37" ht="16.5" customHeight="1">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1"/>
      <c r="AE111" s="194"/>
      <c r="AF111" s="1545"/>
      <c r="AG111" s="194"/>
      <c r="AH111" s="264"/>
      <c r="AI111" s="62"/>
      <c r="AJ111" s="268"/>
    </row>
    <row r="112" spans="1:37" ht="16.5" customHeight="1">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1"/>
      <c r="AE112" s="264"/>
      <c r="AF112" s="1545"/>
      <c r="AG112" s="194"/>
      <c r="AH112" s="194"/>
      <c r="AI112" s="62"/>
      <c r="AJ112" s="283"/>
    </row>
    <row r="113" spans="1:37" ht="16.5" customHeight="1">
      <c r="A113" s="752" t="s">
        <v>124</v>
      </c>
      <c r="B113" s="62"/>
      <c r="C113" s="194">
        <f>+'Exhibit F'!D105+'Exhibit G'!D89+'Exhibit I'!E68</f>
        <v>3053.5</v>
      </c>
      <c r="D113" s="194"/>
      <c r="E113" s="194">
        <f>+'Exhibit F'!F105+'Exhibit G'!F89+'Exhibit I'!G68</f>
        <v>6238.0999999999985</v>
      </c>
      <c r="F113" s="194"/>
      <c r="G113" s="194">
        <f>+'Exhibit F'!H105+'Exhibit G'!H89+'Exhibit I'!I68</f>
        <v>3809.5</v>
      </c>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13101.1</v>
      </c>
      <c r="AC113" s="194"/>
      <c r="AD113" s="861"/>
      <c r="AE113" s="264">
        <f>+'Exhibit F'!AF105+'Exhibit G'!AH89+'Exhibit I'!AI68</f>
        <v>12174.5</v>
      </c>
      <c r="AF113" s="1545"/>
      <c r="AG113" s="194"/>
      <c r="AH113" s="194">
        <f>ROUND(SUM(AB113-AE113),1)</f>
        <v>926.6</v>
      </c>
      <c r="AI113" s="62"/>
      <c r="AJ113" s="374">
        <f>ROUND(IF(AE113=0,0,AH113/ABS(AE113)),3)</f>
        <v>7.5999999999999998E-2</v>
      </c>
    </row>
    <row r="114" spans="1:37" ht="16.5" customHeight="1">
      <c r="A114" s="752" t="s">
        <v>125</v>
      </c>
      <c r="B114" s="62"/>
      <c r="C114" s="194">
        <f>+'Exhibit F'!D106+'Exhibit G'!D90+'Exhibit I'!E69</f>
        <v>12</v>
      </c>
      <c r="D114" s="194"/>
      <c r="E114" s="194">
        <f>+'Exhibit F'!F106+'Exhibit G'!F90+'Exhibit I'!G69</f>
        <v>25.800000000000004</v>
      </c>
      <c r="F114" s="194"/>
      <c r="G114" s="194">
        <f>+'Exhibit F'!H106+'Exhibit G'!H90+'Exhibit I'!I69</f>
        <v>38.4</v>
      </c>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1">ROUND(SUM(C114:Y114),1)</f>
        <v>76.2</v>
      </c>
      <c r="AC114" s="194"/>
      <c r="AD114" s="861"/>
      <c r="AE114" s="264">
        <f>+'Exhibit F'!AF106+'Exhibit G'!AH90+'Exhibit I'!AI69</f>
        <v>36.900000000000006</v>
      </c>
      <c r="AF114" s="1545"/>
      <c r="AG114" s="194"/>
      <c r="AH114" s="194">
        <f t="shared" ref="AH114:AH121" si="22">ROUND(SUM(AB114-AE114),1)</f>
        <v>39.299999999999997</v>
      </c>
      <c r="AI114" s="62"/>
      <c r="AJ114" s="859">
        <f>ROUND(IF(AE114=0,0,AH114/ABS(AE114)),3)</f>
        <v>1.0649999999999999</v>
      </c>
    </row>
    <row r="115" spans="1:37" ht="16.5" customHeight="1">
      <c r="A115" s="752" t="s">
        <v>126</v>
      </c>
      <c r="B115" s="62"/>
      <c r="C115" s="194">
        <f>+'Exhibit F'!D107+'Exhibit G'!D91+'Exhibit I'!E70</f>
        <v>84.3</v>
      </c>
      <c r="D115" s="194"/>
      <c r="E115" s="194">
        <f>+'Exhibit F'!F107+'Exhibit G'!F91+'Exhibit I'!G70</f>
        <v>120.9</v>
      </c>
      <c r="F115" s="194"/>
      <c r="G115" s="194">
        <f>+'Exhibit F'!H107+'Exhibit G'!H91+'Exhibit I'!I70</f>
        <v>850.3</v>
      </c>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1"/>
        <v>1055.5</v>
      </c>
      <c r="AC115" s="194"/>
      <c r="AD115" s="861"/>
      <c r="AE115" s="264">
        <f>+'Exhibit F'!AF107+'Exhibit G'!AH91+'Exhibit I'!AI70</f>
        <v>703.80000000000007</v>
      </c>
      <c r="AF115" s="1545"/>
      <c r="AG115" s="194"/>
      <c r="AH115" s="194">
        <f t="shared" si="22"/>
        <v>351.7</v>
      </c>
      <c r="AI115" s="62"/>
      <c r="AJ115" s="374">
        <f>ROUND(IF(AE115=0,0,AH115/ABS(AE115)),3)</f>
        <v>0.5</v>
      </c>
    </row>
    <row r="116" spans="1:37" ht="16.5" customHeight="1">
      <c r="A116" s="752"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1"/>
      <c r="AE116" s="275"/>
      <c r="AF116" s="1545"/>
      <c r="AG116" s="194"/>
      <c r="AH116" s="194" t="s">
        <v>103</v>
      </c>
      <c r="AI116" s="62"/>
      <c r="AJ116" s="283"/>
    </row>
    <row r="117" spans="1:37" ht="16.5" customHeight="1">
      <c r="A117" s="753" t="s">
        <v>128</v>
      </c>
      <c r="B117" s="62"/>
      <c r="C117" s="194">
        <f>+'Exhibit F'!D109+'Exhibit G'!D93</f>
        <v>9847.2999999999993</v>
      </c>
      <c r="D117" s="194"/>
      <c r="E117" s="194">
        <f>+'Exhibit F'!F109+'Exhibit G'!F93</f>
        <v>8847.5999999999985</v>
      </c>
      <c r="F117" s="194"/>
      <c r="G117" s="194">
        <f>+'Exhibit F'!H109+'Exhibit G'!H93</f>
        <v>6850.1000000000031</v>
      </c>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1"/>
        <v>25545</v>
      </c>
      <c r="AC117" s="194"/>
      <c r="AD117" s="861"/>
      <c r="AE117" s="264">
        <f>+'Exhibit F'!AF109+'Exhibit G'!AH93</f>
        <v>24545.599999999999</v>
      </c>
      <c r="AF117" s="1545"/>
      <c r="AG117" s="194"/>
      <c r="AH117" s="194">
        <f t="shared" si="22"/>
        <v>999.4</v>
      </c>
      <c r="AI117" s="62"/>
      <c r="AJ117" s="374">
        <f t="shared" ref="AJ117:AJ123" si="23">ROUND(IF(AE117=0,0,AH117/ABS(AE117)),3)</f>
        <v>4.1000000000000002E-2</v>
      </c>
    </row>
    <row r="118" spans="1:37" ht="16.5" customHeight="1">
      <c r="A118" s="752" t="s">
        <v>129</v>
      </c>
      <c r="B118" s="62"/>
      <c r="C118" s="194">
        <f>+'Exhibit F'!D110+'Exhibit G'!D94+'Exhibit I'!E72</f>
        <v>1521.6000000000001</v>
      </c>
      <c r="D118" s="194"/>
      <c r="E118" s="194">
        <f>+'Exhibit F'!F110+'Exhibit G'!F94+'Exhibit I'!G72</f>
        <v>1588.8999999999996</v>
      </c>
      <c r="F118" s="194"/>
      <c r="G118" s="194">
        <f>+'Exhibit F'!H110+'Exhibit G'!H94+'Exhibit I'!I72</f>
        <v>2512.3000000000002</v>
      </c>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1"/>
        <v>5622.8</v>
      </c>
      <c r="AC118" s="1213"/>
      <c r="AD118" s="194"/>
      <c r="AE118" s="264">
        <f>+'Exhibit F'!AF110+'Exhibit G'!AH94+'Exhibit I'!AI72</f>
        <v>5861.4000000000005</v>
      </c>
      <c r="AF118" s="1545"/>
      <c r="AG118" s="194"/>
      <c r="AH118" s="194">
        <f t="shared" si="22"/>
        <v>-238.6</v>
      </c>
      <c r="AI118" s="62"/>
      <c r="AJ118" s="374">
        <f t="shared" si="23"/>
        <v>-4.1000000000000002E-2</v>
      </c>
    </row>
    <row r="119" spans="1:37" ht="16.5" customHeight="1">
      <c r="A119" s="752" t="s">
        <v>130</v>
      </c>
      <c r="B119" s="62"/>
      <c r="C119" s="194">
        <f>+'Exhibit F'!D111+'Exhibit G'!D95+'Exhibit I'!E73</f>
        <v>443.9</v>
      </c>
      <c r="D119" s="194"/>
      <c r="E119" s="194">
        <f>+'Exhibit F'!F111+'Exhibit G'!F95+'Exhibit I'!G73</f>
        <v>1038.5</v>
      </c>
      <c r="F119" s="194"/>
      <c r="G119" s="194">
        <f>+'Exhibit F'!H111+'Exhibit G'!H95+'Exhibit I'!I73</f>
        <v>563.19999999999993</v>
      </c>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1"/>
        <v>2045.6</v>
      </c>
      <c r="AC119" s="1229"/>
      <c r="AD119" s="861"/>
      <c r="AE119" s="264">
        <f>+'Exhibit F'!AF111+'Exhibit G'!AH95+'Exhibit I'!AI73</f>
        <v>1309.8</v>
      </c>
      <c r="AF119" s="1545"/>
      <c r="AG119" s="194"/>
      <c r="AH119" s="194">
        <f t="shared" si="22"/>
        <v>735.8</v>
      </c>
      <c r="AI119" s="62"/>
      <c r="AJ119" s="859">
        <f t="shared" si="23"/>
        <v>0.56200000000000006</v>
      </c>
    </row>
    <row r="120" spans="1:37" ht="16.5" customHeight="1">
      <c r="A120" s="752" t="s">
        <v>131</v>
      </c>
      <c r="B120" s="62"/>
      <c r="C120" s="194">
        <f>+'Exhibit F'!D112+'Exhibit G'!D96+'Exhibit I'!E74</f>
        <v>700.30000000000007</v>
      </c>
      <c r="D120" s="194"/>
      <c r="E120" s="194">
        <f>+'Exhibit F'!F112+'Exhibit G'!F96+'Exhibit I'!G74</f>
        <v>753.99999999999989</v>
      </c>
      <c r="F120" s="194"/>
      <c r="G120" s="194">
        <f>+'Exhibit F'!H112+'Exhibit G'!H96+'Exhibit I'!I74</f>
        <v>1555.2</v>
      </c>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1"/>
        <v>3009.5</v>
      </c>
      <c r="AC120" s="1229"/>
      <c r="AD120" s="861"/>
      <c r="AE120" s="264">
        <f>+'Exhibit F'!AF112+'Exhibit G'!AH96+'Exhibit I'!AI74</f>
        <v>3074.8</v>
      </c>
      <c r="AF120" s="1545"/>
      <c r="AG120" s="194"/>
      <c r="AH120" s="194">
        <f t="shared" si="22"/>
        <v>-65.3</v>
      </c>
      <c r="AI120" s="62"/>
      <c r="AJ120" s="374">
        <f t="shared" si="23"/>
        <v>-2.1000000000000001E-2</v>
      </c>
    </row>
    <row r="121" spans="1:37" ht="16.5" customHeight="1">
      <c r="A121" s="752" t="s">
        <v>132</v>
      </c>
      <c r="B121" s="62"/>
      <c r="C121" s="194">
        <f>+'Exhibit F'!D113+'Exhibit G'!D97+'Exhibit I'!E75</f>
        <v>119.9</v>
      </c>
      <c r="D121" s="194"/>
      <c r="E121" s="194">
        <f>+'Exhibit F'!F113+'Exhibit G'!F97+'Exhibit I'!G75</f>
        <v>39.299999999999997</v>
      </c>
      <c r="F121" s="194"/>
      <c r="G121" s="194">
        <f>+'Exhibit F'!H113+'Exhibit G'!H97+'Exhibit I'!I75</f>
        <v>204.39999999999998</v>
      </c>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1"/>
        <v>363.6</v>
      </c>
      <c r="AC121" s="1229"/>
      <c r="AD121" s="861"/>
      <c r="AE121" s="264">
        <f>+'Exhibit F'!AF113+'Exhibit G'!AH97+'Exhibit I'!AI75</f>
        <v>274.10000000000002</v>
      </c>
      <c r="AF121" s="1545"/>
      <c r="AG121" s="194"/>
      <c r="AH121" s="194">
        <f t="shared" si="22"/>
        <v>89.5</v>
      </c>
      <c r="AI121" s="62"/>
      <c r="AJ121" s="374">
        <f t="shared" si="23"/>
        <v>0.32700000000000001</v>
      </c>
    </row>
    <row r="122" spans="1:37" ht="16.5" customHeight="1">
      <c r="A122" s="752" t="s">
        <v>133</v>
      </c>
      <c r="B122" s="62"/>
      <c r="C122" s="194">
        <f>+'Exhibit F'!D114+'Exhibit G'!D98+'Exhibit I'!E76</f>
        <v>150.80000000000001</v>
      </c>
      <c r="D122" s="194"/>
      <c r="E122" s="194">
        <f>+'Exhibit F'!F114+'Exhibit G'!F98+'Exhibit I'!G76</f>
        <v>746.8</v>
      </c>
      <c r="F122" s="194"/>
      <c r="G122" s="194">
        <f>+'Exhibit F'!H114+'Exhibit G'!H98+'Exhibit I'!I76</f>
        <v>631.6</v>
      </c>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1529.2</v>
      </c>
      <c r="AC122" s="1229"/>
      <c r="AD122" s="861"/>
      <c r="AE122" s="264">
        <f>+'Exhibit F'!AF114+'Exhibit G'!AH98+'Exhibit I'!AI76</f>
        <v>1416.5</v>
      </c>
      <c r="AF122" s="1545"/>
      <c r="AG122" s="194"/>
      <c r="AH122" s="194">
        <f>ROUND(SUM(AB122-AE122),1)</f>
        <v>112.7</v>
      </c>
      <c r="AI122" s="62"/>
      <c r="AJ122" s="374">
        <f t="shared" si="23"/>
        <v>0.08</v>
      </c>
    </row>
    <row r="123" spans="1:37" ht="16.5" customHeight="1">
      <c r="A123" s="62" t="s">
        <v>134</v>
      </c>
      <c r="B123" s="62"/>
      <c r="C123" s="1013">
        <f>ROUND(SUM(C113:C122),1)</f>
        <v>15933.6</v>
      </c>
      <c r="D123" s="197"/>
      <c r="E123" s="1013">
        <f>ROUND(SUM(E113:E122),1)</f>
        <v>19399.900000000001</v>
      </c>
      <c r="F123" s="197"/>
      <c r="G123" s="1013">
        <f>ROUND(SUM(G113:G122),1)</f>
        <v>17015</v>
      </c>
      <c r="H123" s="197"/>
      <c r="I123" s="1013">
        <f>ROUND(SUM(I113:I122),1)</f>
        <v>0</v>
      </c>
      <c r="J123" s="197"/>
      <c r="K123" s="1013">
        <f>ROUND(SUM(K113:K122),1)</f>
        <v>0</v>
      </c>
      <c r="L123" s="197"/>
      <c r="M123" s="1013">
        <f>ROUND(SUM(M113:M122),1)</f>
        <v>0</v>
      </c>
      <c r="N123" s="197"/>
      <c r="O123" s="1013">
        <f>ROUND(SUM(O113:O122),1)</f>
        <v>0</v>
      </c>
      <c r="P123" s="197"/>
      <c r="Q123" s="1013">
        <f>ROUND(SUM(Q113:Q122),1)</f>
        <v>0</v>
      </c>
      <c r="R123" s="197"/>
      <c r="S123" s="1013">
        <f>ROUND(SUM(S113:S122),1)</f>
        <v>0</v>
      </c>
      <c r="T123" s="197"/>
      <c r="U123" s="1013">
        <f>ROUND(SUM(U113:U122),1)</f>
        <v>0</v>
      </c>
      <c r="V123" s="197"/>
      <c r="W123" s="1013">
        <f>ROUND(SUM(W113:W122),1)</f>
        <v>0</v>
      </c>
      <c r="X123" s="197"/>
      <c r="Y123" s="1013">
        <f>ROUND(SUM(Y113:Y122),1)</f>
        <v>0</v>
      </c>
      <c r="Z123" s="197"/>
      <c r="AA123" s="198"/>
      <c r="AB123" s="1013">
        <f>ROUND(SUM(AB113:AB122),1)</f>
        <v>52348.5</v>
      </c>
      <c r="AC123" s="1230"/>
      <c r="AD123" s="864"/>
      <c r="AE123" s="1013">
        <f>ROUND(SUM(AE113:AE122),1)</f>
        <v>49397.4</v>
      </c>
      <c r="AF123" s="1546"/>
      <c r="AG123" s="197"/>
      <c r="AH123" s="1013">
        <f>ROUND(SUM(AH113:AH122),1)</f>
        <v>2951.1</v>
      </c>
      <c r="AI123" s="187"/>
      <c r="AJ123" s="1014">
        <f t="shared" si="23"/>
        <v>0.06</v>
      </c>
      <c r="AK123" s="129"/>
    </row>
    <row r="124" spans="1:37" ht="16.5" customHeight="1">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1"/>
      <c r="AE124" s="264"/>
      <c r="AF124" s="1545"/>
      <c r="AG124" s="194"/>
      <c r="AH124" s="264"/>
      <c r="AI124" s="62"/>
      <c r="AJ124" s="268"/>
    </row>
    <row r="125" spans="1:37" ht="16.5" customHeight="1">
      <c r="A125" s="62" t="s">
        <v>429</v>
      </c>
      <c r="B125" s="62"/>
      <c r="C125" s="194">
        <f>+'Exhibit F'!D117+'Exhibit G'!D101+'Exhibit I'!E79</f>
        <v>1835.5</v>
      </c>
      <c r="D125" s="194"/>
      <c r="E125" s="194">
        <f>+'Exhibit F'!F117+'Exhibit G'!F101+'Exhibit I'!G79</f>
        <v>1485.4</v>
      </c>
      <c r="F125" s="194"/>
      <c r="G125" s="194">
        <f>+'Exhibit F'!H117+'Exhibit G'!H101+'Exhibit I'!I79</f>
        <v>1449.3000000000002</v>
      </c>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4770.2</v>
      </c>
      <c r="AC125" s="194"/>
      <c r="AD125" s="861"/>
      <c r="AE125" s="264">
        <f>+'Exhibit F'!AF117+'Exhibit G'!AH101+'Exhibit I'!AI79</f>
        <v>4687.0999999999995</v>
      </c>
      <c r="AF125" s="1545"/>
      <c r="AG125" s="194"/>
      <c r="AH125" s="194">
        <f>ROUND(SUM(AB125-AE125),1)</f>
        <v>83.1</v>
      </c>
      <c r="AI125" s="62"/>
      <c r="AJ125" s="374">
        <f>ROUND(IF(AE125=0,0,AH125/ABS(AE125)),3)</f>
        <v>1.7999999999999999E-2</v>
      </c>
    </row>
    <row r="126" spans="1:37" ht="16.5" customHeight="1">
      <c r="A126" s="62" t="s">
        <v>430</v>
      </c>
      <c r="B126" s="62"/>
      <c r="C126" s="194">
        <f>+'Exhibit F'!D118+'Exhibit G'!D102+'Exhibit H'!B59+'Exhibit I'!E80</f>
        <v>612.1</v>
      </c>
      <c r="D126" s="194"/>
      <c r="E126" s="194">
        <f>+'Exhibit F'!F118+'Exhibit G'!F102+'Exhibit H'!D59+'Exhibit I'!G80</f>
        <v>542.99999999999989</v>
      </c>
      <c r="F126" s="194"/>
      <c r="G126" s="194">
        <f>+'Exhibit F'!H118+'Exhibit G'!H102+'Exhibit H'!F59+'Exhibit I'!I80</f>
        <v>978</v>
      </c>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2133.1</v>
      </c>
      <c r="AC126" s="194"/>
      <c r="AD126" s="861"/>
      <c r="AE126" s="264">
        <f>+'Exhibit F'!AF118+'Exhibit G'!AH102+'Exhibit H'!AD59+'Exhibit I'!AI80</f>
        <v>1948.1999999999998</v>
      </c>
      <c r="AF126" s="1545"/>
      <c r="AG126" s="194"/>
      <c r="AH126" s="194">
        <f>ROUND(SUM(AB126-AE126),1)</f>
        <v>184.9</v>
      </c>
      <c r="AI126" s="62"/>
      <c r="AJ126" s="374">
        <f>ROUND(IF(AE126=0,0,AH126/ABS(AE126)),3)</f>
        <v>9.5000000000000001E-2</v>
      </c>
    </row>
    <row r="127" spans="1:37" ht="16.5" customHeight="1">
      <c r="A127" s="62" t="s">
        <v>138</v>
      </c>
      <c r="B127" s="62"/>
      <c r="C127" s="194">
        <f>+'Exhibit F'!D119+'Exhibit G'!D103+'Exhibit I'!E81</f>
        <v>817.8</v>
      </c>
      <c r="D127" s="194"/>
      <c r="E127" s="194">
        <f>+'Exhibit F'!F119+'Exhibit G'!F103+'Exhibit I'!G81</f>
        <v>737.50000000000011</v>
      </c>
      <c r="F127" s="194"/>
      <c r="G127" s="194">
        <f>+'Exhibit F'!H119+'Exhibit G'!H103+'Exhibit I'!I81</f>
        <v>1207.9000000000001</v>
      </c>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2763.2</v>
      </c>
      <c r="AC127" s="194"/>
      <c r="AD127" s="861"/>
      <c r="AE127" s="264">
        <f>+'Exhibit F'!AF119+'Exhibit G'!AH103+'Exhibit I'!AI81</f>
        <v>2477.1</v>
      </c>
      <c r="AF127" s="1545"/>
      <c r="AG127" s="194"/>
      <c r="AH127" s="194">
        <f>ROUND(SUM(AB127-AE127),1)</f>
        <v>286.10000000000002</v>
      </c>
      <c r="AI127" s="62"/>
      <c r="AJ127" s="374">
        <f>ROUND(IF(AE127=0,0,AH127/ABS(AE127)),3)</f>
        <v>0.115</v>
      </c>
    </row>
    <row r="128" spans="1:37" ht="16.5" customHeight="1">
      <c r="A128" s="62" t="s">
        <v>431</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1"/>
      <c r="AE128" s="194"/>
      <c r="AF128" s="1545"/>
      <c r="AG128" s="194"/>
      <c r="AH128" s="194"/>
      <c r="AI128" s="62"/>
      <c r="AJ128" s="283"/>
    </row>
    <row r="129" spans="1:37" ht="16.5" customHeight="1">
      <c r="A129" s="62" t="s">
        <v>1457</v>
      </c>
      <c r="B129" s="62"/>
      <c r="C129" s="194">
        <f>+'Exhibit H'!B61</f>
        <v>1.5</v>
      </c>
      <c r="D129" s="194"/>
      <c r="E129" s="194">
        <f>+'Exhibit H'!D61</f>
        <v>6</v>
      </c>
      <c r="F129" s="194"/>
      <c r="G129" s="194">
        <f>+'Exhibit H'!F61</f>
        <v>7.5</v>
      </c>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15</v>
      </c>
      <c r="AC129" s="194"/>
      <c r="AD129" s="861"/>
      <c r="AE129" s="264">
        <f>+'Exhibit H'!AD61+'Exhibit G'!AH105</f>
        <v>27.7</v>
      </c>
      <c r="AF129" s="1545"/>
      <c r="AG129" s="194"/>
      <c r="AH129" s="194">
        <f>ROUND(SUM(AB129-AE129),1)</f>
        <v>-12.7</v>
      </c>
      <c r="AI129" s="62"/>
      <c r="AJ129" s="374">
        <f>ROUND(IF(AE129=0,0,AH129/ABS(AE129)),3)</f>
        <v>-0.45800000000000002</v>
      </c>
    </row>
    <row r="130" spans="1:37" ht="16.5" customHeight="1">
      <c r="A130" s="199" t="s">
        <v>432</v>
      </c>
      <c r="B130" s="62"/>
      <c r="C130" s="196">
        <f>+'Exhibit G'!D106+'Exhibit I'!E82</f>
        <v>406</v>
      </c>
      <c r="D130" s="194"/>
      <c r="E130" s="196">
        <f>+'Exhibit G'!F106+'Exhibit I'!G82</f>
        <v>642.80000000000007</v>
      </c>
      <c r="F130" s="196"/>
      <c r="G130" s="196">
        <f>+'Exhibit G'!H106+'Exhibit I'!I82</f>
        <v>1242.9999999999998</v>
      </c>
      <c r="H130" s="194"/>
      <c r="I130" s="196"/>
      <c r="J130" s="194"/>
      <c r="K130" s="196"/>
      <c r="L130" s="194"/>
      <c r="M130" s="196"/>
      <c r="N130" s="194"/>
      <c r="O130" s="196"/>
      <c r="P130" s="194"/>
      <c r="Q130" s="196"/>
      <c r="R130" s="194"/>
      <c r="S130" s="196"/>
      <c r="T130" s="194"/>
      <c r="U130" s="196"/>
      <c r="V130" s="194"/>
      <c r="W130" s="196"/>
      <c r="X130" s="194"/>
      <c r="Y130" s="196"/>
      <c r="Z130" s="194"/>
      <c r="AA130" s="195"/>
      <c r="AB130" s="196">
        <f>ROUND(SUM(C130:Y130),1)</f>
        <v>2291.8000000000002</v>
      </c>
      <c r="AC130" s="194"/>
      <c r="AD130" s="861"/>
      <c r="AE130" s="382">
        <f>+'Exhibit G'!AH106+'Exhibit I'!AI82</f>
        <v>2335.6999999999998</v>
      </c>
      <c r="AF130" s="1545"/>
      <c r="AG130" s="194"/>
      <c r="AH130" s="196">
        <f>ROUND(SUM(AB130-AE130),1)</f>
        <v>-43.9</v>
      </c>
      <c r="AI130" s="62"/>
      <c r="AJ130" s="863">
        <f>ROUND(IF(AE130=0,0,AH130/ABS(AE130)),3)</f>
        <v>-1.9E-2</v>
      </c>
    </row>
    <row r="131" spans="1:37" ht="16.5" customHeight="1">
      <c r="A131" s="62"/>
      <c r="B131" s="62"/>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5"/>
      <c r="AB131" s="194"/>
      <c r="AC131" s="194"/>
      <c r="AD131" s="861"/>
      <c r="AE131" s="194"/>
      <c r="AF131" s="1545"/>
      <c r="AG131" s="194"/>
      <c r="AH131" s="194"/>
      <c r="AI131" s="62"/>
      <c r="AJ131" s="283"/>
    </row>
    <row r="132" spans="1:37" ht="16.5" customHeight="1">
      <c r="A132" s="40" t="s">
        <v>162</v>
      </c>
      <c r="B132" s="62"/>
      <c r="C132" s="754">
        <f>ROUND(SUM(C123:C130),1)</f>
        <v>19606.5</v>
      </c>
      <c r="D132" s="197"/>
      <c r="E132" s="754">
        <f>ROUND(SUM(E123:E130),1)</f>
        <v>22814.6</v>
      </c>
      <c r="F132" s="197"/>
      <c r="G132" s="754">
        <f>ROUND(SUM(G123:G130),1)</f>
        <v>21900.7</v>
      </c>
      <c r="H132" s="197"/>
      <c r="I132" s="754">
        <f>ROUND(SUM(I123:I130),1)</f>
        <v>0</v>
      </c>
      <c r="J132" s="197"/>
      <c r="K132" s="754">
        <f>ROUND(SUM(K123:K130),1)</f>
        <v>0</v>
      </c>
      <c r="L132" s="197"/>
      <c r="M132" s="754">
        <f>ROUND(SUM(M123:M130),1)</f>
        <v>0</v>
      </c>
      <c r="N132" s="197"/>
      <c r="O132" s="754">
        <f>ROUND(SUM(O123:O130),1)</f>
        <v>0</v>
      </c>
      <c r="P132" s="197"/>
      <c r="Q132" s="754">
        <f>ROUND(SUM(Q123:Q130),1)</f>
        <v>0</v>
      </c>
      <c r="R132" s="197"/>
      <c r="S132" s="754">
        <f>ROUND(SUM(S123:S130),1)</f>
        <v>0</v>
      </c>
      <c r="T132" s="197"/>
      <c r="U132" s="754">
        <f>ROUND(SUM(U123:U130),1)</f>
        <v>0</v>
      </c>
      <c r="V132" s="197"/>
      <c r="W132" s="754">
        <f>ROUND(SUM(W123:W130),1)</f>
        <v>0</v>
      </c>
      <c r="X132" s="197"/>
      <c r="Y132" s="754">
        <f>ROUND(SUM(Y123:Y130),1)</f>
        <v>0</v>
      </c>
      <c r="Z132" s="197"/>
      <c r="AA132" s="198"/>
      <c r="AB132" s="754">
        <f>ROUND(SUM(AB123:AB130),1)</f>
        <v>64321.8</v>
      </c>
      <c r="AC132" s="197"/>
      <c r="AD132" s="864"/>
      <c r="AE132" s="754">
        <f>ROUND(SUM(AE123:AE130),1)</f>
        <v>60873.2</v>
      </c>
      <c r="AF132" s="1546"/>
      <c r="AG132" s="197"/>
      <c r="AH132" s="754">
        <f>ROUND(SUM(AB132-AE132),1)</f>
        <v>3448.6</v>
      </c>
      <c r="AI132" s="187"/>
      <c r="AJ132" s="860">
        <f>ROUND(IF(AE132=0,0,AH132/ABS(AE132)),3)</f>
        <v>5.7000000000000002E-2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1"/>
      <c r="AE133" s="194"/>
      <c r="AF133" s="1545"/>
      <c r="AG133" s="194"/>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1"/>
      <c r="AE134" s="194"/>
      <c r="AF134" s="1545"/>
      <c r="AG134" s="194"/>
      <c r="AH134" s="264"/>
      <c r="AI134" s="62"/>
      <c r="AJ134" s="268"/>
    </row>
    <row r="135" spans="1:37" ht="16.5" customHeight="1">
      <c r="A135" s="40" t="s">
        <v>144</v>
      </c>
      <c r="B135" s="62"/>
      <c r="C135" s="754">
        <f>ROUND(SUM(C109-C132),1)</f>
        <v>6211</v>
      </c>
      <c r="D135" s="197"/>
      <c r="E135" s="754">
        <f>ROUND(SUM(E109-E132),1)</f>
        <v>-5624.5</v>
      </c>
      <c r="F135" s="197"/>
      <c r="G135" s="754">
        <f>ROUND(SUM(G109-G132),1)</f>
        <v>13246.7</v>
      </c>
      <c r="H135" s="197"/>
      <c r="I135" s="754">
        <f>ROUND(SUM(I109-I132),1)</f>
        <v>0</v>
      </c>
      <c r="J135" s="197"/>
      <c r="K135" s="754">
        <f>ROUND(SUM(K109-K132),1)</f>
        <v>0</v>
      </c>
      <c r="L135" s="197"/>
      <c r="M135" s="754">
        <f>ROUND(SUM(M109-M132),1)</f>
        <v>0</v>
      </c>
      <c r="N135" s="197"/>
      <c r="O135" s="754">
        <f>ROUND(SUM(O109-O132),1)</f>
        <v>0</v>
      </c>
      <c r="P135" s="197"/>
      <c r="Q135" s="754">
        <f>ROUND(SUM(Q109-Q132),1)</f>
        <v>0</v>
      </c>
      <c r="R135" s="197"/>
      <c r="S135" s="754">
        <f>ROUND(SUM(S109-S132),1)</f>
        <v>0</v>
      </c>
      <c r="T135" s="197"/>
      <c r="U135" s="754">
        <f>ROUND(SUM(U109-U132),1)</f>
        <v>0</v>
      </c>
      <c r="V135" s="197"/>
      <c r="W135" s="754">
        <f>ROUND(SUM(W109-W132),1)</f>
        <v>0</v>
      </c>
      <c r="X135" s="197"/>
      <c r="Y135" s="754">
        <f>ROUND(SUM(Y109-Y132),1)</f>
        <v>0</v>
      </c>
      <c r="Z135" s="197"/>
      <c r="AA135" s="198"/>
      <c r="AB135" s="754">
        <f>ROUND(SUM(AB109-AB132),1)</f>
        <v>13833.2</v>
      </c>
      <c r="AC135" s="197"/>
      <c r="AD135" s="864"/>
      <c r="AE135" s="754">
        <f>ROUND(SUM(AE109-AE132),1)</f>
        <v>4982.2</v>
      </c>
      <c r="AF135" s="1546"/>
      <c r="AG135" s="197"/>
      <c r="AH135" s="869">
        <f>ROUND(SUM(AB135-AE135),1)</f>
        <v>8851</v>
      </c>
      <c r="AI135" s="187"/>
      <c r="AJ135" s="865">
        <f>ROUND(IF(AE135=0,0,AH135/ABS(AE135)),3)</f>
        <v>1.7769999999999999</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1"/>
      <c r="AE136" s="11"/>
      <c r="AF136" s="1545"/>
      <c r="AG136" s="194"/>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3"/>
      <c r="AA137" s="195"/>
      <c r="AB137" s="194"/>
      <c r="AC137" s="1213"/>
      <c r="AD137" s="194"/>
      <c r="AE137" s="194"/>
      <c r="AF137" s="1545"/>
      <c r="AG137" s="194"/>
      <c r="AH137" s="264"/>
      <c r="AI137" s="62"/>
      <c r="AJ137" s="268"/>
    </row>
    <row r="138" spans="1:37" ht="16.5" customHeight="1">
      <c r="A138" s="62" t="s">
        <v>146</v>
      </c>
      <c r="B138" s="62"/>
      <c r="C138" s="682">
        <v>0</v>
      </c>
      <c r="D138" s="682"/>
      <c r="E138" s="682">
        <v>0</v>
      </c>
      <c r="F138" s="682"/>
      <c r="G138" s="682">
        <v>0</v>
      </c>
      <c r="H138" s="200"/>
      <c r="I138" s="682"/>
      <c r="J138" s="200"/>
      <c r="K138" s="682"/>
      <c r="L138" s="200"/>
      <c r="M138" s="682"/>
      <c r="N138" s="200"/>
      <c r="O138" s="682"/>
      <c r="P138" s="200"/>
      <c r="Q138" s="682"/>
      <c r="R138" s="682"/>
      <c r="S138" s="682"/>
      <c r="T138" s="682"/>
      <c r="U138" s="682"/>
      <c r="V138" s="682"/>
      <c r="W138" s="682"/>
      <c r="X138" s="682"/>
      <c r="Y138" s="682"/>
      <c r="Z138" s="194"/>
      <c r="AA138" s="195"/>
      <c r="AB138" s="194">
        <f>ROUND(SUM(C138:Y138),1)</f>
        <v>0</v>
      </c>
      <c r="AC138" s="194"/>
      <c r="AD138" s="861"/>
      <c r="AE138" s="194">
        <f>+'Exhibit A'!AD48</f>
        <v>0</v>
      </c>
      <c r="AF138" s="1545"/>
      <c r="AG138" s="194"/>
      <c r="AH138" s="194">
        <f>ROUND(SUM(AB138-AE138),1)</f>
        <v>0</v>
      </c>
      <c r="AI138" s="189"/>
      <c r="AJ138" s="266">
        <f>ROUND(IF(AE138=0,0,AH138/ABS(AE138)),3)</f>
        <v>0</v>
      </c>
    </row>
    <row r="139" spans="1:37" ht="16.5" customHeight="1">
      <c r="A139" s="62" t="s">
        <v>147</v>
      </c>
      <c r="B139" s="62"/>
      <c r="C139" s="367">
        <v>7291.5</v>
      </c>
      <c r="D139" s="1962"/>
      <c r="E139" s="682">
        <v>3975.4</v>
      </c>
      <c r="F139" s="682"/>
      <c r="G139" s="682">
        <f>'Exhibit A'!$V$49</f>
        <v>6608.7</v>
      </c>
      <c r="H139" s="194"/>
      <c r="I139" s="682"/>
      <c r="J139" s="194"/>
      <c r="K139" s="682"/>
      <c r="L139" s="194"/>
      <c r="M139" s="682"/>
      <c r="N139" s="194"/>
      <c r="O139" s="682"/>
      <c r="P139" s="194"/>
      <c r="Q139" s="682"/>
      <c r="R139" s="682"/>
      <c r="S139" s="682"/>
      <c r="T139" s="682"/>
      <c r="U139" s="682"/>
      <c r="V139" s="682"/>
      <c r="W139" s="682"/>
      <c r="X139" s="682"/>
      <c r="Y139" s="682"/>
      <c r="Z139" s="194"/>
      <c r="AA139" s="195"/>
      <c r="AB139" s="194">
        <f>ROUND(SUM(C139:Y139),1)</f>
        <v>17875.599999999999</v>
      </c>
      <c r="AC139" s="194"/>
      <c r="AD139" s="195"/>
      <c r="AE139" s="194">
        <f>+'Exhibit A'!AD49</f>
        <v>18384.599999999999</v>
      </c>
      <c r="AF139" s="1545"/>
      <c r="AG139" s="194"/>
      <c r="AH139" s="194">
        <f>ROUND(SUM(AB139-AE139),1)</f>
        <v>-509</v>
      </c>
      <c r="AI139" s="62"/>
      <c r="AJ139" s="266">
        <f>ROUND(IF(AE139=0,0,AH139/ABS(AE139)),3)</f>
        <v>-2.8000000000000001E-2</v>
      </c>
    </row>
    <row r="140" spans="1:37" ht="16.5" customHeight="1">
      <c r="A140" s="62" t="s">
        <v>149</v>
      </c>
      <c r="C140" s="367">
        <v>-7293.1</v>
      </c>
      <c r="D140" s="1962"/>
      <c r="E140" s="755">
        <v>-3978.4</v>
      </c>
      <c r="F140" s="755"/>
      <c r="G140" s="755">
        <f>'Exhibit A'!$V$50</f>
        <v>-6645.5</v>
      </c>
      <c r="H140" s="11"/>
      <c r="I140" s="755"/>
      <c r="J140" s="11"/>
      <c r="K140" s="755"/>
      <c r="L140" s="11"/>
      <c r="M140" s="755"/>
      <c r="N140" s="11"/>
      <c r="O140" s="755"/>
      <c r="P140" s="11"/>
      <c r="Q140" s="755"/>
      <c r="R140" s="682"/>
      <c r="S140" s="755"/>
      <c r="T140" s="682"/>
      <c r="U140" s="755"/>
      <c r="V140" s="755"/>
      <c r="W140" s="755"/>
      <c r="X140" s="755"/>
      <c r="Y140" s="755"/>
      <c r="Z140" s="11"/>
      <c r="AA140" s="201"/>
      <c r="AB140" s="196">
        <f>ROUND(SUM(C140:Y140),1)</f>
        <v>-17917</v>
      </c>
      <c r="AC140" s="11"/>
      <c r="AD140" s="201"/>
      <c r="AE140" s="196">
        <f>+'Exhibit A'!AD50</f>
        <v>-24423.699999999997</v>
      </c>
      <c r="AF140" s="1547"/>
      <c r="AG140" s="11"/>
      <c r="AH140" s="196">
        <f>ROUND(SUM(-AB140+AE140),1)</f>
        <v>-6506.7</v>
      </c>
      <c r="AI140" s="268"/>
      <c r="AJ140" s="533">
        <f>ROUND(IF(AE140=0,0,AH140/ABS(AE140)),3)</f>
        <v>-0.26600000000000001</v>
      </c>
      <c r="AK140" s="866"/>
    </row>
    <row r="141" spans="1:37" ht="16.5" customHeight="1">
      <c r="A141" s="62"/>
      <c r="C141" s="1036"/>
      <c r="D141" s="1126"/>
      <c r="E141" s="194"/>
      <c r="F141" s="11"/>
      <c r="G141" s="194"/>
      <c r="H141" s="11"/>
      <c r="I141" s="194"/>
      <c r="J141" s="11"/>
      <c r="K141" s="194"/>
      <c r="L141" s="11"/>
      <c r="M141" s="194"/>
      <c r="N141" s="11"/>
      <c r="O141" s="194"/>
      <c r="P141" s="11"/>
      <c r="Q141" s="194"/>
      <c r="R141" s="11"/>
      <c r="S141" s="194"/>
      <c r="T141" s="11"/>
      <c r="U141" s="194"/>
      <c r="V141" s="11"/>
      <c r="W141" s="194"/>
      <c r="X141" s="11"/>
      <c r="Y141" s="194"/>
      <c r="Z141" s="11"/>
      <c r="AA141" s="201"/>
      <c r="AB141" s="194"/>
      <c r="AC141" s="11"/>
      <c r="AD141" s="201"/>
      <c r="AE141" s="194"/>
      <c r="AF141" s="1547"/>
      <c r="AG141" s="11"/>
      <c r="AH141" s="194"/>
      <c r="AI141" s="268"/>
      <c r="AJ141" s="283"/>
    </row>
    <row r="142" spans="1:37" ht="16.5" customHeight="1">
      <c r="A142" s="40" t="s">
        <v>150</v>
      </c>
      <c r="C142" s="984">
        <f>ROUND(SUM(C138:C140),1)</f>
        <v>-1.6</v>
      </c>
      <c r="D142" s="1963"/>
      <c r="E142" s="754">
        <f>ROUND(SUM(E138:E140),1)</f>
        <v>-3</v>
      </c>
      <c r="F142" s="202"/>
      <c r="G142" s="754">
        <f>ROUND(SUM(G138:G140),1)</f>
        <v>-36.799999999999997</v>
      </c>
      <c r="H142" s="202"/>
      <c r="I142" s="754">
        <f>ROUND(SUM(I138:I140),1)</f>
        <v>0</v>
      </c>
      <c r="J142" s="202"/>
      <c r="K142" s="754">
        <f>ROUND(SUM(K138:K140),1)</f>
        <v>0</v>
      </c>
      <c r="L142" s="202"/>
      <c r="M142" s="754">
        <f>ROUND(SUM(M138:M140),1)</f>
        <v>0</v>
      </c>
      <c r="N142" s="202"/>
      <c r="O142" s="754">
        <f>ROUND(SUM(O138:O140),1)</f>
        <v>0</v>
      </c>
      <c r="P142" s="202"/>
      <c r="Q142" s="754">
        <f>ROUND(SUM(Q138:Q140),1)</f>
        <v>0</v>
      </c>
      <c r="R142" s="202"/>
      <c r="S142" s="754">
        <f>ROUND(SUM(S138:S140),1)</f>
        <v>0</v>
      </c>
      <c r="T142" s="202"/>
      <c r="U142" s="754">
        <f>ROUND(SUM(U138:U140),1)</f>
        <v>0</v>
      </c>
      <c r="V142" s="202"/>
      <c r="W142" s="754">
        <f>ROUND(SUM(W138:W140),1)</f>
        <v>0</v>
      </c>
      <c r="X142" s="202"/>
      <c r="Y142" s="754">
        <f>ROUND(SUM(Y138:Y140),1)</f>
        <v>0</v>
      </c>
      <c r="Z142" s="202"/>
      <c r="AA142" s="203"/>
      <c r="AB142" s="754">
        <f>ROUND(SUM(AB138:AB141),1)</f>
        <v>-41.4</v>
      </c>
      <c r="AC142" s="202"/>
      <c r="AD142" s="203"/>
      <c r="AE142" s="754">
        <f>SUM(AE138:AE141)</f>
        <v>-6039.0999999999985</v>
      </c>
      <c r="AF142" s="1548"/>
      <c r="AG142" s="202"/>
      <c r="AH142" s="754">
        <f>ROUND(SUM(+AH139-AH140+AH138),1)</f>
        <v>5997.7</v>
      </c>
      <c r="AI142" s="40"/>
      <c r="AJ142" s="865">
        <f>ROUND(IF(AE142=0,0,AH142/ABS(AE142)),3)</f>
        <v>0.99299999999999999</v>
      </c>
      <c r="AK142" s="129"/>
    </row>
    <row r="143" spans="1:37" ht="5.0999999999999996" customHeight="1">
      <c r="A143" s="26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1"/>
      <c r="AB143" s="11"/>
      <c r="AC143" s="11"/>
      <c r="AD143" s="201"/>
      <c r="AE143" s="11"/>
      <c r="AF143" s="1547"/>
      <c r="AG143" s="11"/>
      <c r="AH143" s="264"/>
      <c r="AI143" s="268"/>
      <c r="AJ143" s="268"/>
    </row>
    <row r="144" spans="1:37" ht="16.5" customHeight="1">
      <c r="A144" s="40" t="s">
        <v>143</v>
      </c>
      <c r="C144" s="194"/>
      <c r="D144" s="11"/>
      <c r="E144" s="194"/>
      <c r="F144" s="11"/>
      <c r="G144" s="194"/>
      <c r="H144" s="11"/>
      <c r="I144" s="194"/>
      <c r="J144" s="11"/>
      <c r="K144" s="194"/>
      <c r="L144" s="11"/>
      <c r="M144" s="194"/>
      <c r="N144" s="11"/>
      <c r="O144" s="194"/>
      <c r="P144" s="11"/>
      <c r="Q144" s="194"/>
      <c r="R144" s="11"/>
      <c r="S144" s="194"/>
      <c r="T144" s="11"/>
      <c r="U144" s="194"/>
      <c r="V144" s="11"/>
      <c r="W144" s="194"/>
      <c r="X144" s="11"/>
      <c r="Y144" s="194"/>
      <c r="Z144" s="11"/>
      <c r="AA144" s="201"/>
      <c r="AB144" s="194"/>
      <c r="AC144" s="11"/>
      <c r="AD144" s="201"/>
      <c r="AE144" s="194"/>
      <c r="AF144" s="1547"/>
      <c r="AG144" s="11"/>
      <c r="AH144" s="264"/>
      <c r="AI144" s="268"/>
      <c r="AJ144" s="268"/>
    </row>
    <row r="145" spans="1:37" ht="16.5" customHeight="1">
      <c r="A145" s="40" t="s">
        <v>151</v>
      </c>
      <c r="C145" s="197"/>
      <c r="D145" s="202"/>
      <c r="E145" s="197"/>
      <c r="F145" s="202"/>
      <c r="G145" s="197"/>
      <c r="H145" s="202"/>
      <c r="I145" s="197"/>
      <c r="J145" s="202"/>
      <c r="K145" s="197"/>
      <c r="L145" s="202"/>
      <c r="M145" s="197"/>
      <c r="N145" s="202"/>
      <c r="O145" s="197"/>
      <c r="P145" s="202"/>
      <c r="Q145" s="197"/>
      <c r="R145" s="202"/>
      <c r="S145" s="197"/>
      <c r="T145" s="202"/>
      <c r="U145" s="197"/>
      <c r="V145" s="202"/>
      <c r="W145" s="197"/>
      <c r="X145" s="202"/>
      <c r="Y145" s="197"/>
      <c r="Z145" s="202"/>
      <c r="AA145" s="203"/>
      <c r="AB145" s="197"/>
      <c r="AC145" s="202"/>
      <c r="AD145" s="203"/>
      <c r="AE145" s="197"/>
      <c r="AF145" s="1547"/>
      <c r="AG145" s="11"/>
      <c r="AH145" s="13"/>
      <c r="AI145" s="40"/>
      <c r="AJ145" s="40"/>
      <c r="AK145" s="129"/>
    </row>
    <row r="146" spans="1:37" ht="16.5" customHeight="1">
      <c r="A146" s="40" t="s">
        <v>152</v>
      </c>
      <c r="C146" s="204">
        <f>ROUND(SUM(C135+C142),1)</f>
        <v>6209.4</v>
      </c>
      <c r="D146" s="202"/>
      <c r="E146" s="204">
        <f>ROUND(SUM(E135+E142),1)</f>
        <v>-5627.5</v>
      </c>
      <c r="F146" s="202"/>
      <c r="G146" s="204">
        <f>ROUND(SUM(G135+G142),1)</f>
        <v>13209.9</v>
      </c>
      <c r="H146" s="202"/>
      <c r="I146" s="204">
        <f>ROUND(SUM(I135+I142),1)</f>
        <v>0</v>
      </c>
      <c r="J146" s="202"/>
      <c r="K146" s="204">
        <f>ROUND(SUM(K135+K142),1)</f>
        <v>0</v>
      </c>
      <c r="L146" s="202"/>
      <c r="M146" s="204">
        <f>ROUND(SUM(M135+M142),1)</f>
        <v>0</v>
      </c>
      <c r="N146" s="202"/>
      <c r="O146" s="204">
        <f>ROUND(SUM(O135+O142),1)</f>
        <v>0</v>
      </c>
      <c r="P146" s="202"/>
      <c r="Q146" s="204">
        <f>ROUND(SUM(Q135+Q142),1)</f>
        <v>0</v>
      </c>
      <c r="R146" s="202"/>
      <c r="S146" s="204">
        <f>ROUND(SUM(S135+S142),1)</f>
        <v>0</v>
      </c>
      <c r="T146" s="202"/>
      <c r="U146" s="204">
        <f>ROUND(SUM(U135+U142),1)</f>
        <v>0</v>
      </c>
      <c r="V146" s="202"/>
      <c r="W146" s="204">
        <f>ROUND(SUM(W135+W142),1)</f>
        <v>0</v>
      </c>
      <c r="X146" s="202"/>
      <c r="Y146" s="204">
        <f>ROUND(SUM(Y135+Y142),1)</f>
        <v>0</v>
      </c>
      <c r="Z146" s="202"/>
      <c r="AA146" s="203"/>
      <c r="AB146" s="204">
        <f>ROUND(SUM(AB135+AB142),1)</f>
        <v>13791.8</v>
      </c>
      <c r="AC146" s="202"/>
      <c r="AD146" s="203"/>
      <c r="AE146" s="204">
        <f>AE135+AE142</f>
        <v>-1056.8999999999987</v>
      </c>
      <c r="AF146" s="1547"/>
      <c r="AG146" s="11"/>
      <c r="AH146" s="869">
        <f>ROUND(SUM(AB146-AE146),1)</f>
        <v>14848.7</v>
      </c>
      <c r="AI146" s="40"/>
      <c r="AJ146" s="865">
        <f>ROUND(IF(AE146=0,0,AH146/ABS(AE146)),3)</f>
        <v>14.048999999999999</v>
      </c>
      <c r="AK146" s="129"/>
    </row>
    <row r="147" spans="1:37" ht="16.5" customHeight="1">
      <c r="A147" s="40"/>
      <c r="C147" s="1011"/>
      <c r="E147" s="1011"/>
      <c r="G147" s="1011"/>
      <c r="I147" s="1011"/>
      <c r="K147" s="1011"/>
      <c r="M147" s="1011"/>
      <c r="O147" s="1011"/>
      <c r="Q147" s="1011"/>
      <c r="S147" s="1011"/>
      <c r="U147" s="1011"/>
      <c r="W147" s="1011"/>
      <c r="Y147" s="1011"/>
      <c r="AA147" s="205"/>
      <c r="AB147" s="1011"/>
      <c r="AD147" s="205"/>
      <c r="AE147" s="1011"/>
      <c r="AF147" s="1547"/>
      <c r="AG147" s="11"/>
      <c r="AH147" s="268"/>
      <c r="AI147" s="268"/>
      <c r="AJ147" s="268"/>
    </row>
    <row r="148" spans="1:37" ht="16.5" customHeight="1" thickBot="1">
      <c r="A148" s="206" t="s">
        <v>433</v>
      </c>
      <c r="C148" s="207">
        <f>ROUND(SUM(C16+C146),1)</f>
        <v>81217.2</v>
      </c>
      <c r="D148" s="67"/>
      <c r="E148" s="207">
        <f>ROUND(SUM(E16+E146),1)</f>
        <v>75589.7</v>
      </c>
      <c r="F148" s="67"/>
      <c r="G148" s="207">
        <f>ROUND(SUM(G16+G146),1)</f>
        <v>88799.6</v>
      </c>
      <c r="H148" s="67"/>
      <c r="I148" s="207">
        <f>ROUND(SUM(I16+I146),1)</f>
        <v>0</v>
      </c>
      <c r="J148" s="208"/>
      <c r="K148" s="207">
        <f>ROUND(SUM(K16+K146),1)</f>
        <v>0</v>
      </c>
      <c r="L148" s="208"/>
      <c r="M148" s="207">
        <f>ROUND(SUM(M16+M146),1)</f>
        <v>0</v>
      </c>
      <c r="N148" s="208"/>
      <c r="O148" s="207">
        <f>ROUND(SUM(O16+O146),1)</f>
        <v>0</v>
      </c>
      <c r="P148" s="208"/>
      <c r="Q148" s="207">
        <f>ROUND(SUM(Q16+Q146),1)</f>
        <v>0</v>
      </c>
      <c r="R148" s="208"/>
      <c r="S148" s="207">
        <f>ROUND(SUM(S16+S146),1)</f>
        <v>0</v>
      </c>
      <c r="T148" s="208"/>
      <c r="U148" s="207">
        <f>ROUND(SUM(U16+U146),1)</f>
        <v>0</v>
      </c>
      <c r="V148" s="208"/>
      <c r="W148" s="207">
        <f>ROUND(SUM(W16+W146),1)</f>
        <v>0</v>
      </c>
      <c r="X148" s="208"/>
      <c r="Y148" s="207">
        <f>ROUND(SUM(Y16+Y146),1)</f>
        <v>0</v>
      </c>
      <c r="Z148" s="67"/>
      <c r="AA148" s="209"/>
      <c r="AB148" s="207">
        <f>ROUND(SUM(AB16+AB146),1)</f>
        <v>88799.6</v>
      </c>
      <c r="AC148" s="67"/>
      <c r="AD148" s="209"/>
      <c r="AE148" s="207">
        <f>AE16+AE146</f>
        <v>72639.5</v>
      </c>
      <c r="AF148" s="1547"/>
      <c r="AG148" s="11"/>
      <c r="AH148" s="207">
        <f>ROUND(SUM(AB148-AE148),1)</f>
        <v>16160.1</v>
      </c>
      <c r="AI148" s="40"/>
      <c r="AJ148" s="867">
        <f>ROUND(IF(AE148=0,0,AH148/ABS(AE148)),3)</f>
        <v>0.222</v>
      </c>
      <c r="AK148" s="129"/>
    </row>
    <row r="149" spans="1:37" ht="16.5" customHeight="1" thickTop="1">
      <c r="A149" s="210"/>
      <c r="AH149" s="268"/>
      <c r="AI149" s="268"/>
      <c r="AJ149" s="268"/>
    </row>
    <row r="150" spans="1:37" ht="16.5" customHeight="1">
      <c r="A150" s="1017" t="s">
        <v>434</v>
      </c>
      <c r="AH150" s="268"/>
      <c r="AI150" s="268"/>
      <c r="AJ150" s="268"/>
    </row>
    <row r="151" spans="1:37" ht="16.5" customHeight="1">
      <c r="AH151" s="268"/>
      <c r="AI151" s="268"/>
      <c r="AJ151" s="268"/>
    </row>
    <row r="152" spans="1:37" ht="16.5" customHeight="1">
      <c r="A152" s="364"/>
      <c r="AH152" s="268"/>
      <c r="AI152" s="268"/>
      <c r="AJ152" s="268"/>
    </row>
    <row r="153" spans="1:37" ht="16.5" customHeight="1">
      <c r="A153" s="364"/>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sheetData>
  <customSheetViews>
    <customSheetView guid="{83D69B98-1714-4D17-901F-87B47BE66947}" scale="80" showGridLines="0" printArea="1" topLeftCell="C122">
      <selection activeCell="AH37" sqref="AH37"/>
      <rowBreaks count="1" manualBreakCount="1">
        <brk id="89" max="35" man="1"/>
      </rowBreaks>
      <pageMargins left="0.25" right="0.25" top="0.5" bottom="0.4" header="0" footer="0.25"/>
      <printOptions horizontalCentered="1"/>
      <pageSetup scale="38" firstPageNumber="16" fitToHeight="2" orientation="landscape" useFirstPageNumber="1" r:id="rId1"/>
      <headerFooter scaleWithDoc="0" alignWithMargins="0">
        <oddFooter>&amp;C&amp;8&amp;P</oddFooter>
      </headerFooter>
    </customSheetView>
    <customSheetView guid="{F9AE1502-86F7-4AAA-AE66-F6A75A634C1B}"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2"/>
      <headerFooter scaleWithDoc="0" alignWithMargins="0">
        <oddFooter>&amp;C&amp;8&amp;P</oddFooter>
      </headerFooter>
    </customSheetView>
    <customSheetView guid="{C41E3923-0A88-49D0-AE43-0E74D386A056}" scale="80" showGridLines="0" printArea="1" topLeftCell="E83">
      <selection activeCell="AJ95" sqref="AJ95"/>
      <rowBreaks count="1" manualBreakCount="1">
        <brk id="89" max="35" man="1"/>
      </rowBreaks>
      <pageMargins left="0.25" right="0.25" top="0.5" bottom="0.4" header="0" footer="0.25"/>
      <printOptions horizontalCentered="1"/>
      <pageSetup scale="38" firstPageNumber="16" fitToHeight="2" orientation="landscape" useFirstPageNumber="1" r:id="rId3"/>
      <headerFooter scaleWithDoc="0" alignWithMargins="0">
        <oddFooter>&amp;C&amp;8&amp;P</oddFooter>
      </headerFooter>
    </customSheetView>
    <customSheetView guid="{1DF171D7-3BFC-49F6-B708-0F91FCFAB6E2}"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4"/>
      <headerFooter scaleWithDoc="0" alignWithMargins="0">
        <oddFooter>&amp;C&amp;8&amp;P</oddFooter>
      </headerFooter>
    </customSheetView>
    <customSheetView guid="{9F00D83C-7F4F-41B5-9976-8610D9EBC976}"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5"/>
      <headerFooter scaleWithDoc="0" alignWithMargins="0">
        <oddFooter>&amp;C&amp;8&amp;P</oddFooter>
      </headerFooter>
    </customSheetView>
    <customSheetView guid="{D1467C25-646C-4F1A-9353-0E890E575522}" scale="80" showGridLines="0" printArea="1">
      <selection activeCell="C16" sqref="C16"/>
      <rowBreaks count="1" manualBreakCount="1">
        <brk id="89" max="35" man="1"/>
      </rowBreaks>
      <pageMargins left="0.25" right="0.25" top="0.5" bottom="0.4" header="0" footer="0.25"/>
      <printOptions horizontalCentered="1"/>
      <pageSetup scale="38" firstPageNumber="16" fitToHeight="2" orientation="landscape" useFirstPageNumber="1" r:id="rId6"/>
      <headerFooter scaleWithDoc="0" alignWithMargins="0">
        <oddFooter>&amp;C&amp;8&amp;P</oddFooter>
      </headerFooter>
    </customSheetView>
    <customSheetView guid="{3A50DD26-AAF5-43D4-97DE-BAE3367A2F29}"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7"/>
      <headerFooter scaleWithDoc="0" alignWithMargins="0">
        <oddFooter>&amp;C&amp;8&amp;P</oddFooter>
      </headerFooter>
    </customSheetView>
    <customSheetView guid="{C3636880-B45B-4897-94F2-F91976416934}" scale="80" showGridLines="0" printArea="1" topLeftCell="E1">
      <selection activeCell="AB12" sqref="AB12:AJ12"/>
      <rowBreaks count="1" manualBreakCount="1">
        <brk id="89" max="35" man="1"/>
      </rowBreaks>
      <pageMargins left="0.25" right="0.25" top="0.5" bottom="0.4" header="0" footer="0.25"/>
      <printOptions horizontalCentered="1"/>
      <pageSetup scale="38" firstPageNumber="16" fitToHeight="2" orientation="landscape" useFirstPageNumber="1" r:id="rId8"/>
      <headerFooter scaleWithDoc="0" alignWithMargins="0">
        <oddFooter>&amp;C&amp;8&amp;P</oddFooter>
      </headerFooter>
    </customSheetView>
  </customSheetViews>
  <mergeCells count="2">
    <mergeCell ref="AC5:AJ5"/>
    <mergeCell ref="AB12:AJ12"/>
  </mergeCells>
  <printOptions horizontalCentered="1"/>
  <pageMargins left="0.25" right="0.25" top="0.5" bottom="0.4" header="0" footer="0.25"/>
  <pageSetup scale="38" firstPageNumber="16" fitToHeight="2" orientation="landscape" useFirstPageNumber="1" r:id="rId9"/>
  <headerFooter scaleWithDoc="0" alignWithMargins="0">
    <oddFooter>&amp;C&amp;8&amp;P</oddFooter>
  </headerFooter>
  <rowBreaks count="1" manualBreakCount="1">
    <brk id="89" max="35" man="1"/>
  </rowBreaks>
  <customProperties>
    <customPr name="SheetOptions" r:id="rId10"/>
  </customProperties>
  <ignoredErrors>
    <ignoredError sqref="AJ58:AJ69 AJ75 AJ139:AJ148 AJ96:AJ137 AJ29:AJ34 AJ21:AJ27 AJ87 AJ49:AJ55 AJ77:AJ80 AJ90:AJ94 AJ38:AJ46 AJ85 AJ36 AJ71:AJ72" unlockedFormula="1"/>
    <ignoredError sqref="AH35:AI35 AH24:AH26 AJ57 AJ74" formula="1"/>
    <ignoredError sqref="AJ35 AJ37"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AK165"/>
  <sheetViews>
    <sheetView showGridLines="0" zoomScale="90" zoomScaleNormal="90" workbookViewId="0"/>
  </sheetViews>
  <sheetFormatPr defaultColWidth="8.88671875" defaultRowHeight="16.5" customHeight="1"/>
  <cols>
    <col min="1" max="1" width="43" style="58" customWidth="1"/>
    <col min="2" max="2" width="1.88671875" style="58" customWidth="1"/>
    <col min="3" max="3" width="13.109375" style="58" customWidth="1"/>
    <col min="4" max="4" width="1.88671875" style="58" customWidth="1"/>
    <col min="5" max="5" width="13.109375" style="58" customWidth="1"/>
    <col min="6" max="6" width="1.88671875" style="58" customWidth="1"/>
    <col min="7" max="7" width="13.5546875" style="58" customWidth="1"/>
    <col min="8" max="8" width="1.88671875" style="58" customWidth="1"/>
    <col min="9" max="9" width="13.88671875" style="58" customWidth="1"/>
    <col min="10" max="10" width="1.88671875" style="58" customWidth="1"/>
    <col min="11" max="11" width="14.5546875" style="58" customWidth="1"/>
    <col min="12" max="12" width="1.88671875" style="58" customWidth="1"/>
    <col min="13" max="13" width="13.109375" style="58" customWidth="1"/>
    <col min="14" max="14" width="1.88671875" style="58" customWidth="1"/>
    <col min="15" max="15" width="14.109375" style="58" customWidth="1"/>
    <col min="16" max="16" width="1.88671875" style="58" customWidth="1"/>
    <col min="17" max="17" width="13.109375" style="58" customWidth="1"/>
    <col min="18" max="18" width="1.88671875" style="58" customWidth="1"/>
    <col min="19" max="19" width="13.88671875" style="58" customWidth="1"/>
    <col min="20" max="20" width="1.88671875" style="58" customWidth="1"/>
    <col min="21" max="21" width="13" style="58" customWidth="1"/>
    <col min="22" max="22" width="1.88671875" style="58" customWidth="1"/>
    <col min="23" max="23" width="13.109375" style="58" customWidth="1"/>
    <col min="24" max="24" width="1.88671875" style="58" customWidth="1"/>
    <col min="25" max="25" width="13.109375" style="58" customWidth="1"/>
    <col min="26" max="27" width="1.88671875" style="58" customWidth="1"/>
    <col min="28" max="28" width="15" style="58" customWidth="1"/>
    <col min="29" max="30" width="1.88671875" style="58" customWidth="1"/>
    <col min="31" max="31" width="13.88671875" style="58" customWidth="1"/>
    <col min="32" max="33" width="1.88671875" style="58" customWidth="1"/>
    <col min="34" max="34" width="12.88671875" style="58" bestFit="1" customWidth="1"/>
    <col min="35" max="35" width="1" style="58" customWidth="1"/>
    <col min="36" max="36" width="12.109375" style="58" bestFit="1" customWidth="1"/>
    <col min="37" max="16384" width="8.88671875" style="58"/>
  </cols>
  <sheetData>
    <row r="1" spans="1:37" ht="15">
      <c r="A1" s="751" t="s">
        <v>97</v>
      </c>
    </row>
    <row r="2" spans="1:37" ht="15">
      <c r="A2" s="364"/>
    </row>
    <row r="3" spans="1:37" ht="23.25">
      <c r="A3" s="60"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I3" s="62"/>
    </row>
    <row r="4" spans="1:37" ht="23.25">
      <c r="A4" s="60" t="s">
        <v>156</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62"/>
      <c r="AG4" s="62"/>
      <c r="AI4" s="62"/>
    </row>
    <row r="5" spans="1:37" ht="23.25" customHeight="1">
      <c r="A5" s="61" t="s">
        <v>328</v>
      </c>
      <c r="B5" s="62"/>
      <c r="C5" s="62"/>
      <c r="D5" s="62"/>
      <c r="E5" s="62"/>
      <c r="F5" s="62"/>
      <c r="G5" s="62"/>
      <c r="H5" s="62"/>
      <c r="I5" s="62"/>
      <c r="J5" s="62"/>
      <c r="K5" s="62"/>
      <c r="L5" s="62"/>
      <c r="M5" s="62"/>
      <c r="N5" s="62"/>
      <c r="O5" s="62"/>
      <c r="P5" s="62"/>
      <c r="Q5" s="62"/>
      <c r="R5" s="62"/>
      <c r="S5" s="62"/>
      <c r="T5" s="62"/>
      <c r="U5" s="62"/>
      <c r="V5" s="62"/>
      <c r="W5" s="62"/>
      <c r="X5" s="62"/>
      <c r="Y5" s="62"/>
      <c r="Z5" s="62"/>
      <c r="AA5" s="62"/>
      <c r="AC5" s="2063"/>
      <c r="AD5" s="2064"/>
      <c r="AE5" s="2064"/>
      <c r="AF5" s="2064"/>
      <c r="AG5" s="2064"/>
      <c r="AH5" s="2064"/>
      <c r="AI5" s="2064"/>
      <c r="AJ5" s="2064"/>
    </row>
    <row r="6" spans="1:37" ht="23.25">
      <c r="A6" s="61"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I6" s="62"/>
    </row>
    <row r="7" spans="1:37" ht="23.25" customHeight="1">
      <c r="A7" s="60"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I7" s="62"/>
    </row>
    <row r="8" spans="1:37" ht="15">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I8" s="62"/>
    </row>
    <row r="9" spans="1:37" ht="15">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I9" s="62"/>
    </row>
    <row r="10" spans="1:37" ht="1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I10" s="62"/>
    </row>
    <row r="11" spans="1:37" ht="15">
      <c r="A11" s="62"/>
      <c r="B11" s="62"/>
      <c r="C11" s="62" t="s">
        <v>103</v>
      </c>
      <c r="D11" s="62" t="s">
        <v>103</v>
      </c>
      <c r="E11" s="62"/>
      <c r="F11" s="62"/>
      <c r="G11" s="62"/>
      <c r="H11" s="62"/>
      <c r="I11" s="62"/>
      <c r="J11" s="62"/>
      <c r="K11" s="62"/>
      <c r="L11" s="62"/>
      <c r="M11" s="62"/>
      <c r="N11" s="62"/>
      <c r="O11" s="62"/>
      <c r="P11" s="62"/>
      <c r="Q11" s="62"/>
      <c r="R11" s="62"/>
      <c r="S11" s="62"/>
      <c r="T11" s="62"/>
      <c r="U11" s="62"/>
      <c r="V11" s="62"/>
      <c r="W11" s="62"/>
      <c r="X11" s="62"/>
      <c r="Y11" s="62"/>
      <c r="Z11" s="62"/>
      <c r="AA11" s="62"/>
      <c r="AC11" s="62"/>
      <c r="AD11" s="62"/>
      <c r="AE11" s="62"/>
      <c r="AF11" s="62"/>
      <c r="AG11" s="62"/>
      <c r="AI11" s="62"/>
    </row>
    <row r="12" spans="1:37" ht="15.75">
      <c r="A12" s="62"/>
      <c r="B12" s="62"/>
      <c r="C12" s="62"/>
      <c r="D12" s="62"/>
      <c r="E12" s="62"/>
      <c r="F12" s="62"/>
      <c r="G12" s="62"/>
      <c r="H12" s="62"/>
      <c r="I12" s="62"/>
      <c r="J12" s="62"/>
      <c r="K12" s="62"/>
      <c r="L12" s="62"/>
      <c r="M12" s="62"/>
      <c r="N12" s="62"/>
      <c r="O12" s="62"/>
      <c r="P12" s="62"/>
      <c r="Q12" s="62"/>
      <c r="R12" s="62"/>
      <c r="S12" s="62"/>
      <c r="T12" s="62"/>
      <c r="U12" s="62"/>
      <c r="V12" s="62"/>
      <c r="W12" s="62"/>
      <c r="X12" s="62"/>
      <c r="Z12" s="62"/>
      <c r="AA12" s="189"/>
      <c r="AB12" s="2066" t="str">
        <f>'Cashflow Governmental'!AB12</f>
        <v>3 Months Ended June 30</v>
      </c>
      <c r="AC12" s="2066"/>
      <c r="AD12" s="2066"/>
      <c r="AE12" s="2066"/>
      <c r="AF12" s="2066"/>
      <c r="AG12" s="2066"/>
      <c r="AH12" s="2066"/>
      <c r="AI12" s="2066"/>
      <c r="AJ12" s="2066"/>
    </row>
    <row r="13" spans="1:37" ht="15.75">
      <c r="A13" s="62"/>
      <c r="B13" s="62"/>
      <c r="C13" s="558" t="str">
        <f>'Cashflow Governmental'!C13</f>
        <v>2026</v>
      </c>
      <c r="D13" s="187"/>
      <c r="E13" s="187"/>
      <c r="F13" s="187"/>
      <c r="G13" s="187"/>
      <c r="H13" s="187"/>
      <c r="I13" s="187"/>
      <c r="J13" s="187"/>
      <c r="K13" s="187"/>
      <c r="L13" s="187"/>
      <c r="M13" s="187"/>
      <c r="N13" s="187"/>
      <c r="O13" s="187"/>
      <c r="P13" s="187"/>
      <c r="Q13" s="187"/>
      <c r="R13" s="187"/>
      <c r="S13" s="187"/>
      <c r="T13" s="187"/>
      <c r="U13" s="558">
        <f>'Cashflow Governmental'!U13</f>
        <v>2027</v>
      </c>
      <c r="V13" s="187"/>
      <c r="W13" s="187"/>
      <c r="X13" s="187"/>
      <c r="Y13" s="187"/>
      <c r="Z13" s="187"/>
      <c r="AA13" s="187"/>
      <c r="AB13" s="187"/>
      <c r="AC13" s="187"/>
      <c r="AD13" s="187"/>
      <c r="AE13" s="187"/>
      <c r="AF13" s="187"/>
      <c r="AG13" s="187"/>
      <c r="AH13" s="317" t="s">
        <v>110</v>
      </c>
      <c r="AI13" s="856"/>
      <c r="AJ13" s="317" t="s">
        <v>111</v>
      </c>
    </row>
    <row r="14" spans="1:37" ht="15.75">
      <c r="A14" s="62"/>
      <c r="B14" s="62"/>
      <c r="C14" s="317" t="s">
        <v>329</v>
      </c>
      <c r="D14" s="187"/>
      <c r="E14" s="317" t="s">
        <v>330</v>
      </c>
      <c r="F14" s="187"/>
      <c r="G14" s="317" t="s">
        <v>331</v>
      </c>
      <c r="H14" s="187"/>
      <c r="I14" s="317" t="s">
        <v>332</v>
      </c>
      <c r="J14" s="187"/>
      <c r="K14" s="317" t="s">
        <v>333</v>
      </c>
      <c r="L14" s="187"/>
      <c r="M14" s="317" t="s">
        <v>334</v>
      </c>
      <c r="N14" s="187"/>
      <c r="O14" s="317" t="s">
        <v>335</v>
      </c>
      <c r="P14" s="187"/>
      <c r="Q14" s="868" t="s">
        <v>336</v>
      </c>
      <c r="R14" s="187"/>
      <c r="S14" s="317" t="s">
        <v>337</v>
      </c>
      <c r="T14" s="187"/>
      <c r="U14" s="317" t="s">
        <v>338</v>
      </c>
      <c r="V14" s="187"/>
      <c r="W14" s="317" t="s">
        <v>339</v>
      </c>
      <c r="X14" s="187"/>
      <c r="Y14" s="317" t="s">
        <v>340</v>
      </c>
      <c r="Z14" s="187"/>
      <c r="AA14" s="187"/>
      <c r="AB14" s="852" t="str">
        <f>'Cashflow Governmental'!AB14</f>
        <v>2026</v>
      </c>
      <c r="AC14" s="187"/>
      <c r="AD14" s="187"/>
      <c r="AE14" s="852" t="str">
        <f>'Cashflow Governmental'!AE14</f>
        <v>2025</v>
      </c>
      <c r="AF14" s="187"/>
      <c r="AG14" s="187"/>
      <c r="AH14" s="868" t="s">
        <v>112</v>
      </c>
      <c r="AI14" s="856"/>
      <c r="AJ14" s="868" t="s">
        <v>113</v>
      </c>
    </row>
    <row r="15" spans="1:37" ht="5.25" customHeight="1">
      <c r="A15" s="62"/>
      <c r="B15" s="62"/>
      <c r="C15" s="1011"/>
      <c r="D15" s="62"/>
      <c r="E15" s="1011"/>
      <c r="F15" s="62"/>
      <c r="G15" s="1011"/>
      <c r="H15" s="62"/>
      <c r="I15" s="1011"/>
      <c r="J15" s="62"/>
      <c r="K15" s="1011"/>
      <c r="L15" s="62"/>
      <c r="M15" s="1011"/>
      <c r="N15" s="62"/>
      <c r="O15" s="1011" t="s">
        <v>103</v>
      </c>
      <c r="P15" s="62"/>
      <c r="Q15" s="190"/>
      <c r="R15" s="62"/>
      <c r="S15" s="1011"/>
      <c r="T15" s="62"/>
      <c r="U15" s="1011" t="s">
        <v>103</v>
      </c>
      <c r="V15" s="62"/>
      <c r="W15" s="1011"/>
      <c r="X15" s="62"/>
      <c r="Y15" s="1011"/>
      <c r="Z15" s="62"/>
      <c r="AA15" s="62"/>
      <c r="AB15" s="1011"/>
      <c r="AC15" s="62"/>
      <c r="AD15" s="62"/>
      <c r="AE15" s="1011"/>
      <c r="AF15" s="62"/>
      <c r="AG15" s="62"/>
      <c r="AI15" s="62"/>
    </row>
    <row r="16" spans="1:37" ht="15.75">
      <c r="A16" s="188" t="s">
        <v>341</v>
      </c>
      <c r="B16" s="62"/>
      <c r="C16" s="190">
        <f>'Exhibit F'!D13+'Exh D Special Revenue State Fed'!G41+'Exhibit H'!B13</f>
        <v>69014.2</v>
      </c>
      <c r="D16" s="190"/>
      <c r="E16" s="190">
        <f>C147</f>
        <v>74144.399999999994</v>
      </c>
      <c r="F16" s="190"/>
      <c r="G16" s="190">
        <f>E147</f>
        <v>69559.5</v>
      </c>
      <c r="H16" s="190"/>
      <c r="I16" s="190"/>
      <c r="J16" s="190"/>
      <c r="K16" s="190"/>
      <c r="L16" s="190"/>
      <c r="M16" s="190"/>
      <c r="N16" s="190"/>
      <c r="O16" s="190"/>
      <c r="P16" s="190"/>
      <c r="Q16" s="190"/>
      <c r="R16" s="190"/>
      <c r="S16" s="190"/>
      <c r="T16" s="190"/>
      <c r="U16" s="190"/>
      <c r="V16" s="190"/>
      <c r="W16" s="190"/>
      <c r="X16" s="190"/>
      <c r="Y16" s="190"/>
      <c r="Z16" s="190"/>
      <c r="AA16" s="191"/>
      <c r="AB16" s="190">
        <f>C16</f>
        <v>69014.2</v>
      </c>
      <c r="AC16" s="190"/>
      <c r="AD16" s="857"/>
      <c r="AE16" s="190">
        <f>'Exhibit F'!AF13+'Exhibit G State'!AF13+'Exhibit H'!AD13</f>
        <v>67321.899999999994</v>
      </c>
      <c r="AF16" s="190"/>
      <c r="AG16" s="1537"/>
      <c r="AH16" s="190">
        <f>ROUND(SUM(AB16-AE16),1)</f>
        <v>1692.3</v>
      </c>
      <c r="AI16" s="187"/>
      <c r="AJ16" s="74">
        <f>ROUND(SUM(AH16/AE16),3)</f>
        <v>2.5000000000000001E-2</v>
      </c>
      <c r="AK16" s="129"/>
    </row>
    <row r="17" spans="1:36" ht="15">
      <c r="A17" s="62"/>
      <c r="B17" s="62"/>
      <c r="C17" s="62" t="s">
        <v>103</v>
      </c>
      <c r="D17" s="62"/>
      <c r="E17" s="192"/>
      <c r="F17" s="62"/>
      <c r="G17" s="192"/>
      <c r="H17" s="62"/>
      <c r="I17" s="192"/>
      <c r="J17" s="62"/>
      <c r="K17" s="192"/>
      <c r="L17" s="62"/>
      <c r="M17" s="192"/>
      <c r="N17" s="62"/>
      <c r="O17" s="192"/>
      <c r="P17" s="62"/>
      <c r="Q17" s="192"/>
      <c r="R17" s="62"/>
      <c r="S17" s="192"/>
      <c r="T17" s="62"/>
      <c r="U17" s="192"/>
      <c r="V17" s="62"/>
      <c r="W17" s="192"/>
      <c r="X17" s="62"/>
      <c r="Y17" s="192"/>
      <c r="Z17" s="62"/>
      <c r="AA17" s="390"/>
      <c r="AB17" s="62" t="s">
        <v>103</v>
      </c>
      <c r="AC17" s="62"/>
      <c r="AD17" s="858"/>
      <c r="AE17" s="62" t="s">
        <v>103</v>
      </c>
      <c r="AF17" s="62"/>
      <c r="AG17" s="1536"/>
      <c r="AH17" s="268"/>
      <c r="AI17" s="62"/>
      <c r="AJ17" s="268"/>
    </row>
    <row r="18" spans="1:36" ht="15.75">
      <c r="A18" s="40" t="s">
        <v>114</v>
      </c>
      <c r="B18" s="62"/>
      <c r="C18" s="62"/>
      <c r="D18" s="62"/>
      <c r="E18" s="192"/>
      <c r="F18" s="62"/>
      <c r="G18" s="192"/>
      <c r="H18" s="62"/>
      <c r="I18" s="192"/>
      <c r="J18" s="62"/>
      <c r="K18" s="192"/>
      <c r="L18" s="62"/>
      <c r="M18" s="192"/>
      <c r="N18" s="62"/>
      <c r="O18" s="192"/>
      <c r="P18" s="62"/>
      <c r="Q18" s="192"/>
      <c r="R18" s="62"/>
      <c r="S18" s="192"/>
      <c r="T18" s="62"/>
      <c r="U18" s="192"/>
      <c r="V18" s="62"/>
      <c r="W18" s="192"/>
      <c r="X18" s="62"/>
      <c r="Y18" s="192"/>
      <c r="Z18" s="62"/>
      <c r="AA18" s="390"/>
      <c r="AB18" s="62"/>
      <c r="AC18" s="62"/>
      <c r="AD18" s="858"/>
      <c r="AE18" s="62"/>
      <c r="AF18" s="62"/>
      <c r="AG18" s="1536"/>
      <c r="AH18" s="268"/>
      <c r="AI18" s="62"/>
      <c r="AJ18" s="268"/>
    </row>
    <row r="19" spans="1:36" ht="15.75">
      <c r="A19" s="1216" t="s">
        <v>342</v>
      </c>
      <c r="B19" s="62"/>
      <c r="C19" s="62"/>
      <c r="D19" s="62"/>
      <c r="E19" s="192"/>
      <c r="F19" s="62"/>
      <c r="G19" s="192"/>
      <c r="H19" s="62"/>
      <c r="I19" s="192"/>
      <c r="J19" s="62"/>
      <c r="K19" s="192"/>
      <c r="L19" s="62"/>
      <c r="M19" s="192"/>
      <c r="N19" s="62"/>
      <c r="O19" s="192"/>
      <c r="P19" s="62"/>
      <c r="Q19" s="192"/>
      <c r="R19" s="62"/>
      <c r="S19" s="192"/>
      <c r="T19" s="62"/>
      <c r="U19" s="192"/>
      <c r="V19" s="62"/>
      <c r="W19" s="192"/>
      <c r="X19" s="62"/>
      <c r="Y19" s="192"/>
      <c r="Z19" s="62"/>
      <c r="AA19" s="193"/>
      <c r="AB19" s="62"/>
      <c r="AC19" s="62"/>
      <c r="AD19" s="858"/>
      <c r="AE19" s="62"/>
      <c r="AF19" s="62"/>
      <c r="AG19" s="1536"/>
      <c r="AH19" s="268"/>
      <c r="AI19" s="62"/>
      <c r="AJ19" s="268"/>
    </row>
    <row r="20" spans="1:36" ht="15">
      <c r="A20" s="412" t="s">
        <v>435</v>
      </c>
      <c r="B20" s="62"/>
      <c r="C20" s="62"/>
      <c r="D20" s="62"/>
      <c r="E20" s="194"/>
      <c r="F20" s="62"/>
      <c r="G20" s="194"/>
      <c r="H20" s="62"/>
      <c r="I20" s="194"/>
      <c r="J20" s="62"/>
      <c r="K20" s="194"/>
      <c r="L20" s="62"/>
      <c r="M20" s="194"/>
      <c r="N20" s="62"/>
      <c r="O20" s="194"/>
      <c r="P20" s="62"/>
      <c r="Q20" s="192"/>
      <c r="R20" s="62"/>
      <c r="S20" s="192"/>
      <c r="T20" s="62"/>
      <c r="U20" s="192"/>
      <c r="V20" s="62"/>
      <c r="W20" s="192"/>
      <c r="X20" s="62"/>
      <c r="Y20" s="192"/>
      <c r="Z20" s="62"/>
      <c r="AA20" s="390"/>
      <c r="AB20" s="62"/>
      <c r="AC20" s="62"/>
      <c r="AD20" s="858"/>
      <c r="AE20" s="62"/>
      <c r="AF20" s="62"/>
      <c r="AG20" s="1536"/>
      <c r="AH20" s="268"/>
      <c r="AI20" s="62"/>
      <c r="AJ20" s="268"/>
    </row>
    <row r="21" spans="1:36" ht="15">
      <c r="A21" s="284" t="s">
        <v>344</v>
      </c>
      <c r="B21" s="62"/>
      <c r="C21" s="194">
        <f>+'Exhibit F'!D18</f>
        <v>5407.3</v>
      </c>
      <c r="D21" s="194"/>
      <c r="E21" s="194">
        <f>+'Exhibit F'!F18</f>
        <v>4600.9999999999991</v>
      </c>
      <c r="F21" s="194"/>
      <c r="G21" s="194">
        <f>+'Exhibit F'!H18</f>
        <v>4759.4999999999991</v>
      </c>
      <c r="H21" s="194"/>
      <c r="I21" s="194"/>
      <c r="J21" s="194"/>
      <c r="K21" s="194"/>
      <c r="L21" s="194"/>
      <c r="M21" s="194"/>
      <c r="N21" s="194"/>
      <c r="O21" s="194"/>
      <c r="P21" s="62"/>
      <c r="Q21" s="194"/>
      <c r="R21" s="194"/>
      <c r="S21" s="194"/>
      <c r="T21" s="194"/>
      <c r="U21" s="194"/>
      <c r="V21" s="194"/>
      <c r="W21" s="194"/>
      <c r="X21" s="194"/>
      <c r="Y21" s="194"/>
      <c r="Z21" s="62"/>
      <c r="AA21" s="390"/>
      <c r="AB21" s="194">
        <f>ROUND(SUM(C21:Y21),1)</f>
        <v>14767.8</v>
      </c>
      <c r="AC21" s="62"/>
      <c r="AD21" s="858"/>
      <c r="AE21" s="194">
        <f>+'Exhibit F'!AF18</f>
        <v>13511</v>
      </c>
      <c r="AF21" s="62"/>
      <c r="AG21" s="1536"/>
      <c r="AH21" s="264">
        <f>ROUND(SUM(+AB21-AE21),1)</f>
        <v>1256.8</v>
      </c>
      <c r="AI21" s="63"/>
      <c r="AJ21" s="283">
        <f t="shared" ref="AJ21:AJ25" si="0">ROUND(SUM(+AH21/ABS(AE21)),3)</f>
        <v>9.2999999999999999E-2</v>
      </c>
    </row>
    <row r="22" spans="1:36" ht="15">
      <c r="A22" s="284" t="s">
        <v>345</v>
      </c>
      <c r="B22" s="62"/>
      <c r="C22" s="194">
        <f>+'Exhibit F'!D19</f>
        <v>7071.9</v>
      </c>
      <c r="D22" s="194"/>
      <c r="E22" s="194">
        <f>+'Exhibit F'!F19</f>
        <v>102.80000000000018</v>
      </c>
      <c r="F22" s="194"/>
      <c r="G22" s="194">
        <f>+'Exhibit F'!H19</f>
        <v>2120.6999999999989</v>
      </c>
      <c r="H22" s="194"/>
      <c r="I22" s="194"/>
      <c r="J22" s="194"/>
      <c r="K22" s="194"/>
      <c r="L22" s="194"/>
      <c r="M22" s="194"/>
      <c r="N22" s="194"/>
      <c r="O22" s="194"/>
      <c r="P22" s="62"/>
      <c r="Q22" s="194"/>
      <c r="R22" s="194"/>
      <c r="S22" s="194"/>
      <c r="T22" s="194"/>
      <c r="U22" s="194"/>
      <c r="V22" s="194"/>
      <c r="W22" s="194"/>
      <c r="X22" s="194"/>
      <c r="Y22" s="194"/>
      <c r="Z22" s="62"/>
      <c r="AA22" s="390"/>
      <c r="AB22" s="194">
        <f>ROUND(SUM(C22:Y22),1)</f>
        <v>9295.4</v>
      </c>
      <c r="AC22" s="62"/>
      <c r="AD22" s="858"/>
      <c r="AE22" s="194">
        <f>+'Exhibit F'!AF19</f>
        <v>8407.2000000000007</v>
      </c>
      <c r="AF22" s="62"/>
      <c r="AG22" s="1536"/>
      <c r="AH22" s="264">
        <f t="shared" ref="AH22:AH28" si="1">ROUND(SUM(+AB22-AE22),1)</f>
        <v>888.2</v>
      </c>
      <c r="AI22" s="63"/>
      <c r="AJ22" s="607">
        <f t="shared" si="0"/>
        <v>0.106</v>
      </c>
    </row>
    <row r="23" spans="1:36" ht="15">
      <c r="A23" s="284" t="s">
        <v>346</v>
      </c>
      <c r="B23" s="62"/>
      <c r="C23" s="194">
        <f>+'Exhibit F'!D20</f>
        <v>3100.3</v>
      </c>
      <c r="D23" s="194"/>
      <c r="E23" s="194">
        <f>+'Exhibit F'!F20</f>
        <v>129.69999999999982</v>
      </c>
      <c r="F23" s="194"/>
      <c r="G23" s="194">
        <f>+'Exhibit F'!H20</f>
        <v>113.59999999999991</v>
      </c>
      <c r="H23" s="194"/>
      <c r="I23" s="194"/>
      <c r="J23" s="194"/>
      <c r="K23" s="194"/>
      <c r="L23" s="194"/>
      <c r="M23" s="194"/>
      <c r="N23" s="194"/>
      <c r="O23" s="194"/>
      <c r="P23" s="62"/>
      <c r="Q23" s="194"/>
      <c r="R23" s="194"/>
      <c r="S23" s="194"/>
      <c r="T23" s="194"/>
      <c r="U23" s="194"/>
      <c r="V23" s="194"/>
      <c r="W23" s="194"/>
      <c r="X23" s="194"/>
      <c r="Y23" s="194"/>
      <c r="Z23" s="62"/>
      <c r="AA23" s="390"/>
      <c r="AB23" s="194">
        <f>ROUND(SUM(C23:Y23),1)</f>
        <v>3343.6</v>
      </c>
      <c r="AC23" s="62"/>
      <c r="AD23" s="858"/>
      <c r="AE23" s="194">
        <f>+'Exhibit F'!AF20</f>
        <v>3091.3</v>
      </c>
      <c r="AF23" s="62"/>
      <c r="AG23" s="1536"/>
      <c r="AH23" s="264">
        <f t="shared" si="1"/>
        <v>252.3</v>
      </c>
      <c r="AI23" s="63"/>
      <c r="AJ23" s="283">
        <f t="shared" si="0"/>
        <v>8.2000000000000003E-2</v>
      </c>
    </row>
    <row r="24" spans="1:36" ht="15">
      <c r="A24" s="420" t="s">
        <v>347</v>
      </c>
      <c r="B24" s="62"/>
      <c r="C24" s="194">
        <f>+'Exhibit F'!D21</f>
        <v>-553.5</v>
      </c>
      <c r="D24" s="194"/>
      <c r="E24" s="194">
        <f>+'Exhibit F'!F21</f>
        <v>-69.600000000000023</v>
      </c>
      <c r="F24" s="194"/>
      <c r="G24" s="194">
        <f>+'Exhibit F'!H21</f>
        <v>-60.399999999999977</v>
      </c>
      <c r="H24" s="194"/>
      <c r="I24" s="194"/>
      <c r="J24" s="194"/>
      <c r="K24" s="194"/>
      <c r="L24" s="194"/>
      <c r="M24" s="194"/>
      <c r="N24" s="194"/>
      <c r="O24" s="194"/>
      <c r="P24" s="62"/>
      <c r="Q24" s="194"/>
      <c r="R24" s="194"/>
      <c r="S24" s="194"/>
      <c r="T24" s="194"/>
      <c r="U24" s="194"/>
      <c r="V24" s="194"/>
      <c r="W24" s="194"/>
      <c r="X24" s="194"/>
      <c r="Y24" s="194"/>
      <c r="Z24" s="62"/>
      <c r="AA24" s="390"/>
      <c r="AB24" s="194">
        <f>ROUND(SUM(C24:Y24),1)</f>
        <v>-683.5</v>
      </c>
      <c r="AC24" s="62"/>
      <c r="AD24" s="858"/>
      <c r="AE24" s="194">
        <f>+'Exhibit F'!AF21</f>
        <v>-625</v>
      </c>
      <c r="AF24" s="62"/>
      <c r="AG24" s="1536"/>
      <c r="AH24" s="264">
        <f>-ROUND(SUM(+AB24-AE24),1)</f>
        <v>58.5</v>
      </c>
      <c r="AI24" s="63"/>
      <c r="AJ24" s="283">
        <f t="shared" si="0"/>
        <v>9.4E-2</v>
      </c>
    </row>
    <row r="25" spans="1:36" ht="15">
      <c r="A25" s="420" t="s">
        <v>348</v>
      </c>
      <c r="B25" s="62"/>
      <c r="C25" s="194">
        <f>+'Exhibit F'!D22</f>
        <v>253.6</v>
      </c>
      <c r="D25" s="194"/>
      <c r="E25" s="194">
        <f>+'Exhibit F'!F22</f>
        <v>148.29999999999998</v>
      </c>
      <c r="F25" s="194"/>
      <c r="G25" s="194">
        <f>+'Exhibit F'!H22</f>
        <v>163.00000000000003</v>
      </c>
      <c r="H25" s="194"/>
      <c r="I25" s="194"/>
      <c r="J25" s="194"/>
      <c r="K25" s="194"/>
      <c r="L25" s="194"/>
      <c r="M25" s="194"/>
      <c r="N25" s="194"/>
      <c r="O25" s="194"/>
      <c r="P25" s="62"/>
      <c r="Q25" s="194"/>
      <c r="R25" s="194"/>
      <c r="S25" s="194"/>
      <c r="T25" s="194"/>
      <c r="U25" s="194"/>
      <c r="V25" s="194"/>
      <c r="W25" s="194"/>
      <c r="X25" s="194"/>
      <c r="Y25" s="194"/>
      <c r="Z25" s="62"/>
      <c r="AA25" s="390"/>
      <c r="AB25" s="194">
        <f t="shared" ref="AB25:AB29" si="2">ROUND(SUM(C25:Y25),1)</f>
        <v>564.9</v>
      </c>
      <c r="AC25" s="62"/>
      <c r="AD25" s="858"/>
      <c r="AE25" s="194">
        <f>+'Exhibit F'!AF22</f>
        <v>553.9</v>
      </c>
      <c r="AF25" s="62"/>
      <c r="AG25" s="1536"/>
      <c r="AH25" s="264">
        <f t="shared" si="1"/>
        <v>11</v>
      </c>
      <c r="AI25" s="63"/>
      <c r="AJ25" s="283">
        <f t="shared" si="0"/>
        <v>0.02</v>
      </c>
    </row>
    <row r="26" spans="1:36" ht="15.75">
      <c r="A26" s="285" t="s">
        <v>349</v>
      </c>
      <c r="B26" s="62"/>
      <c r="C26" s="68">
        <f>ROUND(SUM(C21:C25),1)</f>
        <v>15279.6</v>
      </c>
      <c r="D26" s="62"/>
      <c r="E26" s="68">
        <f>ROUND(SUM(E21:E25),1)</f>
        <v>4912.2</v>
      </c>
      <c r="F26" s="62"/>
      <c r="G26" s="68">
        <f>ROUND(SUM(G21:G25),1)</f>
        <v>7096.4</v>
      </c>
      <c r="H26" s="62"/>
      <c r="I26" s="68">
        <f>ROUND(SUM(I21:I25),1)</f>
        <v>0</v>
      </c>
      <c r="J26" s="62"/>
      <c r="K26" s="68">
        <f>ROUND(SUM(K21:K25),1)</f>
        <v>0</v>
      </c>
      <c r="L26" s="62"/>
      <c r="M26" s="68">
        <f>ROUND(SUM(M21:M25),1)</f>
        <v>0</v>
      </c>
      <c r="N26" s="62"/>
      <c r="O26" s="68">
        <f>ROUND(SUM(O21:O25),1)</f>
        <v>0</v>
      </c>
      <c r="P26" s="62"/>
      <c r="Q26" s="68">
        <f>ROUND(SUM(Q21:Q25),1)</f>
        <v>0</v>
      </c>
      <c r="R26" s="62"/>
      <c r="S26" s="68">
        <f>ROUND(SUM(S21:S25),1)</f>
        <v>0</v>
      </c>
      <c r="T26" s="62"/>
      <c r="U26" s="68">
        <f>ROUND(SUM(U21:U25),1)</f>
        <v>0</v>
      </c>
      <c r="V26" s="62"/>
      <c r="W26" s="68">
        <f>ROUND(SUM(W21:W25),1)</f>
        <v>0</v>
      </c>
      <c r="X26" s="62"/>
      <c r="Y26" s="68">
        <f>ROUND(SUM(Y21:Y25),1)</f>
        <v>0</v>
      </c>
      <c r="Z26" s="62"/>
      <c r="AA26" s="390"/>
      <c r="AB26" s="68">
        <f>ROUND(SUM(AB21:AB25),1)</f>
        <v>27288.2</v>
      </c>
      <c r="AC26" s="62"/>
      <c r="AD26" s="858"/>
      <c r="AE26" s="68">
        <f>ROUND(SUM(AE21:AE25),1)</f>
        <v>24938.400000000001</v>
      </c>
      <c r="AF26" s="62"/>
      <c r="AG26" s="1536"/>
      <c r="AH26" s="68">
        <f t="shared" si="1"/>
        <v>2349.8000000000002</v>
      </c>
      <c r="AI26" s="63"/>
      <c r="AJ26" s="416">
        <f>ROUND(SUM(+AH26/ABS(AE26)),3)</f>
        <v>9.4E-2</v>
      </c>
    </row>
    <row r="27" spans="1:36" ht="15">
      <c r="A27" s="420" t="s">
        <v>350</v>
      </c>
      <c r="B27" s="62"/>
      <c r="C27" s="194">
        <f>+'Exhibit F'!D24+'Exhibit G State'!D17</f>
        <v>0</v>
      </c>
      <c r="D27" s="194"/>
      <c r="E27" s="194">
        <f>+'Exhibit F'!F24+'Exhibit G State'!F17</f>
        <v>0</v>
      </c>
      <c r="F27" s="194"/>
      <c r="G27" s="194">
        <f>+'Exhibit F'!H24+'Exhibit G State'!H17</f>
        <v>0</v>
      </c>
      <c r="H27" s="62"/>
      <c r="I27" s="194"/>
      <c r="J27" s="62"/>
      <c r="K27" s="194"/>
      <c r="L27" s="62"/>
      <c r="M27" s="194"/>
      <c r="N27" s="62"/>
      <c r="O27" s="194"/>
      <c r="P27" s="62"/>
      <c r="Q27" s="194"/>
      <c r="R27" s="194"/>
      <c r="S27" s="194"/>
      <c r="T27" s="194"/>
      <c r="U27" s="194"/>
      <c r="V27" s="194"/>
      <c r="W27" s="194"/>
      <c r="X27" s="194"/>
      <c r="Y27" s="194"/>
      <c r="Z27" s="62"/>
      <c r="AA27" s="390"/>
      <c r="AB27" s="194">
        <f>ROUND(SUM(C27:Y27),1)</f>
        <v>0</v>
      </c>
      <c r="AC27" s="62"/>
      <c r="AD27" s="858"/>
      <c r="AE27" s="194">
        <f>+'Exhibit F'!AF24+'Exhibit G State'!AF17</f>
        <v>0</v>
      </c>
      <c r="AF27" s="62"/>
      <c r="AG27" s="1536"/>
      <c r="AH27" s="264">
        <f t="shared" si="1"/>
        <v>0</v>
      </c>
      <c r="AI27" s="63"/>
      <c r="AJ27" s="266">
        <f>ROUND(IF(AE27=0,0,AH27/ABS(AE27)),3)</f>
        <v>0</v>
      </c>
    </row>
    <row r="28" spans="1:36" ht="15">
      <c r="A28" s="420" t="s">
        <v>351</v>
      </c>
      <c r="B28" s="62"/>
      <c r="C28" s="194">
        <f>+'Exhibit F'!D25+'Exhibit H'!B17</f>
        <v>0</v>
      </c>
      <c r="D28" s="194"/>
      <c r="E28" s="194">
        <f>+'Exhibit F'!F25+'Exhibit H'!D17</f>
        <v>0</v>
      </c>
      <c r="F28" s="194"/>
      <c r="G28" s="194">
        <f>+'Exhibit F'!H25+'Exhibit H'!F17</f>
        <v>0</v>
      </c>
      <c r="H28" s="62"/>
      <c r="I28" s="194"/>
      <c r="J28" s="62"/>
      <c r="K28" s="194"/>
      <c r="L28" s="62"/>
      <c r="M28" s="194"/>
      <c r="N28" s="62"/>
      <c r="O28" s="194"/>
      <c r="P28" s="62"/>
      <c r="Q28" s="194"/>
      <c r="R28" s="194"/>
      <c r="S28" s="194"/>
      <c r="T28" s="194"/>
      <c r="U28" s="194"/>
      <c r="V28" s="194"/>
      <c r="W28" s="194"/>
      <c r="X28" s="194"/>
      <c r="Y28" s="194"/>
      <c r="Z28" s="62"/>
      <c r="AA28" s="390"/>
      <c r="AB28" s="194">
        <f t="shared" si="2"/>
        <v>0</v>
      </c>
      <c r="AC28" s="62"/>
      <c r="AD28" s="858"/>
      <c r="AE28" s="194">
        <f>+'Exhibit F'!AF25+'Exhibit H'!AD17</f>
        <v>0</v>
      </c>
      <c r="AF28" s="62"/>
      <c r="AG28" s="1536"/>
      <c r="AH28" s="264">
        <f t="shared" si="1"/>
        <v>0</v>
      </c>
      <c r="AI28" s="63"/>
      <c r="AJ28" s="266">
        <f>ROUND(IF(AE28=0,0,AH28/ABS(AE28)),3)</f>
        <v>0</v>
      </c>
    </row>
    <row r="29" spans="1:36" ht="15">
      <c r="A29" s="284" t="s">
        <v>352</v>
      </c>
      <c r="B29" s="194"/>
      <c r="C29" s="194">
        <f>+'Exhibit F'!D26</f>
        <v>-4825.2</v>
      </c>
      <c r="D29" s="194"/>
      <c r="E29" s="194">
        <f>+'Exhibit F'!F26</f>
        <v>-863.19999999999982</v>
      </c>
      <c r="F29" s="194"/>
      <c r="G29" s="194">
        <f>+'Exhibit F'!H26</f>
        <v>-713.60000000000036</v>
      </c>
      <c r="H29" s="194"/>
      <c r="I29" s="194"/>
      <c r="J29" s="194"/>
      <c r="K29" s="194"/>
      <c r="L29" s="62"/>
      <c r="M29" s="194"/>
      <c r="N29" s="62"/>
      <c r="O29" s="194"/>
      <c r="P29" s="62"/>
      <c r="Q29" s="194"/>
      <c r="R29" s="194"/>
      <c r="S29" s="194"/>
      <c r="T29" s="194"/>
      <c r="U29" s="194"/>
      <c r="V29" s="194"/>
      <c r="W29" s="194"/>
      <c r="X29" s="194"/>
      <c r="Y29" s="194"/>
      <c r="Z29" s="62"/>
      <c r="AA29" s="390"/>
      <c r="AB29" s="194">
        <f t="shared" si="2"/>
        <v>-6402</v>
      </c>
      <c r="AC29" s="62"/>
      <c r="AD29" s="858"/>
      <c r="AE29" s="194">
        <f>+'Exhibit F'!AF26</f>
        <v>-5729.1</v>
      </c>
      <c r="AF29" s="62"/>
      <c r="AG29" s="1536"/>
      <c r="AH29" s="264">
        <f>-ROUND(SUM(+AB29-AE29),1)</f>
        <v>672.9</v>
      </c>
      <c r="AI29" s="63"/>
      <c r="AJ29" s="283">
        <f>ROUND(SUM(+AH29/ABS(AE29)),3)</f>
        <v>0.11700000000000001</v>
      </c>
    </row>
    <row r="30" spans="1:36" ht="15.75">
      <c r="A30" s="83" t="s">
        <v>353</v>
      </c>
      <c r="B30" s="62"/>
      <c r="C30" s="68">
        <f>ROUND(SUM(C26+C27+C28+C29),1)</f>
        <v>10454.4</v>
      </c>
      <c r="D30" s="62"/>
      <c r="E30" s="68">
        <f>ROUND(SUM(E26+E27+E28+E29),1)</f>
        <v>4049</v>
      </c>
      <c r="F30" s="62"/>
      <c r="G30" s="68">
        <f>ROUND(SUM(G26+G27+G28+G29),1)</f>
        <v>6382.8</v>
      </c>
      <c r="H30" s="62"/>
      <c r="I30" s="68">
        <f>ROUND(SUM(I26+I27+I28+I29),1)</f>
        <v>0</v>
      </c>
      <c r="J30" s="62"/>
      <c r="K30" s="68">
        <f>ROUND(SUM(K26+K27+K28+K29),1)</f>
        <v>0</v>
      </c>
      <c r="L30" s="62"/>
      <c r="M30" s="68">
        <f>ROUND(SUM(M26+M27+M28+M29),1)</f>
        <v>0</v>
      </c>
      <c r="N30" s="62"/>
      <c r="O30" s="68">
        <f>ROUND(SUM(O26+O27+O28+O29),1)</f>
        <v>0</v>
      </c>
      <c r="P30" s="62"/>
      <c r="Q30" s="68">
        <f>ROUND(SUM(Q26+Q27+Q28+Q29),1)</f>
        <v>0</v>
      </c>
      <c r="R30" s="62"/>
      <c r="S30" s="68">
        <f>ROUND(SUM(S26+S27+S28+S29),1)</f>
        <v>0</v>
      </c>
      <c r="T30" s="62"/>
      <c r="U30" s="68">
        <f>ROUND(SUM(U26+U27+U28+U29),1)</f>
        <v>0</v>
      </c>
      <c r="V30" s="62"/>
      <c r="W30" s="68">
        <f>ROUND(SUM(W26+W27+W28+W29),1)</f>
        <v>0</v>
      </c>
      <c r="X30" s="62"/>
      <c r="Y30" s="68">
        <f>ROUND(SUM(Y26+Y27+Y28+Y29),1)</f>
        <v>0</v>
      </c>
      <c r="Z30" s="62"/>
      <c r="AA30" s="390"/>
      <c r="AB30" s="68">
        <f>ROUND(SUM(AB26+AB27+AB28+AB29),1)</f>
        <v>20886.2</v>
      </c>
      <c r="AC30" s="62"/>
      <c r="AD30" s="858"/>
      <c r="AE30" s="68">
        <f>ROUND(SUM(AE26+AE27+AE28+AE29),1)</f>
        <v>19209.3</v>
      </c>
      <c r="AF30" s="62"/>
      <c r="AG30" s="1536"/>
      <c r="AH30" s="68">
        <f>ROUND(SUM(AH26+AH27+AH28-AH29),1)</f>
        <v>1676.9</v>
      </c>
      <c r="AI30" s="321"/>
      <c r="AJ30" s="416">
        <f>ROUND(SUM(+AH30/ABS(AE30)),3)</f>
        <v>8.6999999999999994E-2</v>
      </c>
    </row>
    <row r="31" spans="1:36" ht="15">
      <c r="A31" s="412" t="s">
        <v>354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390"/>
      <c r="AB31" s="62"/>
      <c r="AC31" s="62"/>
      <c r="AD31" s="858"/>
      <c r="AE31" s="194"/>
      <c r="AF31" s="62"/>
      <c r="AG31" s="1536"/>
      <c r="AH31" s="268"/>
      <c r="AI31" s="62"/>
      <c r="AJ31" s="268"/>
    </row>
    <row r="32" spans="1:36" ht="15">
      <c r="A32" s="284" t="s">
        <v>355</v>
      </c>
      <c r="B32" s="62"/>
      <c r="C32" s="194">
        <f>+'Exhibit F'!D29+'Exhibit H'!B20+'Exhibit G State'!D20</f>
        <v>1761.1</v>
      </c>
      <c r="D32" s="194"/>
      <c r="E32" s="194">
        <f>+'Exhibit F'!F29+'Exhibit H'!D20+'Exhibit G State'!F20</f>
        <v>1735.8</v>
      </c>
      <c r="F32" s="194"/>
      <c r="G32" s="194">
        <f>+'Exhibit F'!H29+'Exhibit H'!F20+'Exhibit G State'!H20</f>
        <v>2178.2999999999997</v>
      </c>
      <c r="H32" s="194"/>
      <c r="I32" s="194"/>
      <c r="J32" s="194"/>
      <c r="K32" s="194"/>
      <c r="L32" s="62"/>
      <c r="M32" s="194"/>
      <c r="N32" s="62"/>
      <c r="O32" s="194"/>
      <c r="P32" s="62"/>
      <c r="Q32" s="194"/>
      <c r="R32" s="194"/>
      <c r="S32" s="194"/>
      <c r="T32" s="194"/>
      <c r="U32" s="194"/>
      <c r="V32" s="194"/>
      <c r="W32" s="194"/>
      <c r="X32" s="194"/>
      <c r="Y32" s="194"/>
      <c r="Z32" s="62"/>
      <c r="AA32" s="390"/>
      <c r="AB32" s="194">
        <f t="shared" ref="AB32:AB39" si="3">ROUND(SUM(C32:Y32),1)</f>
        <v>5675.2</v>
      </c>
      <c r="AC32" s="62"/>
      <c r="AD32" s="858"/>
      <c r="AE32" s="194">
        <f>+'Exhibit F'!AF29+'Exhibit H'!AD20+'Exhibit G State'!AF20</f>
        <v>5252.9000000000005</v>
      </c>
      <c r="AF32" s="62"/>
      <c r="AG32" s="1536"/>
      <c r="AH32" s="264">
        <f t="shared" ref="AH32:AH39" si="4">ROUND(SUM(+AB32-AE32),1)</f>
        <v>422.3</v>
      </c>
      <c r="AI32" s="63"/>
      <c r="AJ32" s="283">
        <f>ROUND(SUM(+AH32/ABS(AE32)),3)</f>
        <v>0.08</v>
      </c>
    </row>
    <row r="33" spans="1:36" ht="15">
      <c r="A33" s="284" t="s">
        <v>356</v>
      </c>
      <c r="B33" s="62"/>
      <c r="C33" s="194">
        <f>+'Exhibit F'!D30+'Exhibit G State'!D21</f>
        <v>1.7</v>
      </c>
      <c r="D33" s="194"/>
      <c r="E33" s="194">
        <f>+'Exhibit F'!F30+'Exhibit G State'!F21</f>
        <v>0</v>
      </c>
      <c r="F33" s="194"/>
      <c r="G33" s="194">
        <f>+'Exhibit F'!H30+'Exhibit G State'!H21</f>
        <v>9</v>
      </c>
      <c r="H33" s="194"/>
      <c r="I33" s="194"/>
      <c r="J33" s="194"/>
      <c r="K33" s="194"/>
      <c r="L33" s="62"/>
      <c r="M33" s="194"/>
      <c r="N33" s="62"/>
      <c r="O33" s="194"/>
      <c r="P33" s="62"/>
      <c r="Q33" s="194"/>
      <c r="R33" s="194"/>
      <c r="S33" s="194"/>
      <c r="T33" s="194"/>
      <c r="U33" s="194"/>
      <c r="V33" s="194"/>
      <c r="W33" s="194"/>
      <c r="X33" s="194"/>
      <c r="Y33" s="194"/>
      <c r="Z33" s="62"/>
      <c r="AA33" s="390"/>
      <c r="AB33" s="194">
        <f t="shared" si="3"/>
        <v>10.7</v>
      </c>
      <c r="AC33" s="62"/>
      <c r="AD33" s="858"/>
      <c r="AE33" s="194">
        <f>+'Exhibit F'!AF30+'Exhibit G State'!AF21</f>
        <v>14</v>
      </c>
      <c r="AF33" s="62"/>
      <c r="AG33" s="1536"/>
      <c r="AH33" s="264">
        <f t="shared" si="4"/>
        <v>-3.3</v>
      </c>
      <c r="AI33" s="63"/>
      <c r="AJ33" s="542">
        <f>ROUND(IF(AE33=0,1,AH33/ABS(AE33)),3)</f>
        <v>-0.23599999999999999</v>
      </c>
    </row>
    <row r="34" spans="1:36" ht="15">
      <c r="A34" s="284" t="s">
        <v>357</v>
      </c>
      <c r="B34" s="62"/>
      <c r="C34" s="194">
        <f>+'Exhibit F'!D31+'Exhibit G State'!D22</f>
        <v>75.89</v>
      </c>
      <c r="D34" s="194"/>
      <c r="E34" s="194">
        <f>+'Exhibit F'!F31+'Exhibit G State'!F22</f>
        <v>55.31</v>
      </c>
      <c r="F34" s="194"/>
      <c r="G34" s="194">
        <f>+'Exhibit F'!H31+'Exhibit G State'!H22</f>
        <v>70.2</v>
      </c>
      <c r="H34" s="194"/>
      <c r="I34" s="194"/>
      <c r="J34" s="194"/>
      <c r="K34" s="194"/>
      <c r="L34" s="62"/>
      <c r="M34" s="194"/>
      <c r="N34" s="62"/>
      <c r="O34" s="194"/>
      <c r="P34" s="62"/>
      <c r="Q34" s="194"/>
      <c r="R34" s="194"/>
      <c r="S34" s="194"/>
      <c r="T34" s="194"/>
      <c r="U34" s="194"/>
      <c r="V34" s="194"/>
      <c r="W34" s="194"/>
      <c r="X34" s="194"/>
      <c r="Y34" s="194"/>
      <c r="Z34" s="62"/>
      <c r="AA34" s="390"/>
      <c r="AB34" s="194">
        <f t="shared" si="3"/>
        <v>201.4</v>
      </c>
      <c r="AC34" s="62"/>
      <c r="AD34" s="858"/>
      <c r="AE34" s="194">
        <f>+'Exhibit F'!AF31+'Exhibit G State'!AF22</f>
        <v>205.3</v>
      </c>
      <c r="AF34" s="62"/>
      <c r="AG34" s="1536"/>
      <c r="AH34" s="264">
        <f t="shared" si="4"/>
        <v>-3.9</v>
      </c>
      <c r="AI34" s="63"/>
      <c r="AJ34" s="283">
        <f>ROUND(SUM(+AH34/ABS(AE34)),3)</f>
        <v>-1.9E-2</v>
      </c>
    </row>
    <row r="35" spans="1:36" ht="15">
      <c r="A35" s="284" t="s">
        <v>436</v>
      </c>
      <c r="B35" s="62"/>
      <c r="C35" s="194">
        <f>'Exhibit G State'!D23</f>
        <v>4.4000000000000004</v>
      </c>
      <c r="D35" s="194"/>
      <c r="E35" s="194">
        <f>'Exhibit G State'!F23</f>
        <v>1.5999999999999996</v>
      </c>
      <c r="F35" s="194"/>
      <c r="G35" s="194">
        <f>'Exhibit G State'!H23</f>
        <v>53.1</v>
      </c>
      <c r="H35" s="194"/>
      <c r="I35" s="194"/>
      <c r="J35" s="194"/>
      <c r="K35" s="194"/>
      <c r="L35" s="62"/>
      <c r="M35" s="194"/>
      <c r="N35" s="62"/>
      <c r="O35" s="194"/>
      <c r="P35" s="62"/>
      <c r="Q35" s="194"/>
      <c r="R35" s="194"/>
      <c r="S35" s="194"/>
      <c r="T35" s="194"/>
      <c r="U35" s="194"/>
      <c r="V35" s="194"/>
      <c r="W35" s="194"/>
      <c r="X35" s="194"/>
      <c r="Y35" s="194"/>
      <c r="Z35" s="62"/>
      <c r="AA35" s="390"/>
      <c r="AB35" s="194">
        <f t="shared" si="3"/>
        <v>59.1</v>
      </c>
      <c r="AC35" s="62"/>
      <c r="AD35" s="858"/>
      <c r="AE35" s="194">
        <f>'Exhibit G State'!AF23</f>
        <v>36.299999999999997</v>
      </c>
      <c r="AF35" s="62"/>
      <c r="AG35" s="1536"/>
      <c r="AH35" s="264">
        <f>ROUND(SUM(+AB35-AE35),1)</f>
        <v>22.8</v>
      </c>
      <c r="AI35" s="63"/>
      <c r="AJ35" s="266">
        <f>ROUND(IF(AE35=0,1,AH35/ABS(AE35)),3)</f>
        <v>0.628</v>
      </c>
    </row>
    <row r="36" spans="1:36" ht="15">
      <c r="A36" s="284" t="s">
        <v>359</v>
      </c>
      <c r="B36" s="62"/>
      <c r="C36" s="194">
        <f>+'Exhibit F'!D32+'Exhibit G State'!D24</f>
        <v>7.8</v>
      </c>
      <c r="D36" s="194"/>
      <c r="E36" s="194">
        <f>+'Exhibit F'!F32+'Exhibit G State'!F24</f>
        <v>8.6999999999999993</v>
      </c>
      <c r="F36" s="194"/>
      <c r="G36" s="194">
        <f>+'Exhibit F'!H32+'Exhibit G State'!H24</f>
        <v>9.5</v>
      </c>
      <c r="H36" s="194"/>
      <c r="I36" s="194"/>
      <c r="J36" s="194"/>
      <c r="K36" s="194"/>
      <c r="L36" s="62"/>
      <c r="M36" s="194"/>
      <c r="N36" s="62"/>
      <c r="O36" s="194"/>
      <c r="P36" s="62"/>
      <c r="Q36" s="194"/>
      <c r="R36" s="194"/>
      <c r="S36" s="194"/>
      <c r="T36" s="194"/>
      <c r="U36" s="194"/>
      <c r="V36" s="194"/>
      <c r="W36" s="194"/>
      <c r="X36" s="194"/>
      <c r="Y36" s="194"/>
      <c r="Z36" s="62"/>
      <c r="AA36" s="390"/>
      <c r="AB36" s="194">
        <f t="shared" si="3"/>
        <v>26</v>
      </c>
      <c r="AC36" s="62"/>
      <c r="AD36" s="858"/>
      <c r="AE36" s="194">
        <f>+'Exhibit F'!AF32+'Exhibit G State'!AF24</f>
        <v>25.6</v>
      </c>
      <c r="AF36" s="62"/>
      <c r="AG36" s="1536"/>
      <c r="AH36" s="264">
        <f t="shared" si="4"/>
        <v>0.4</v>
      </c>
      <c r="AI36" s="63"/>
      <c r="AJ36" s="283">
        <f>ROUND(SUM(+AH36/ABS(AE36)),3)</f>
        <v>1.6E-2</v>
      </c>
    </row>
    <row r="37" spans="1:36" ht="15">
      <c r="A37" s="421" t="s">
        <v>360</v>
      </c>
      <c r="B37" s="62"/>
      <c r="C37" s="194">
        <f>+'Exhibit F'!D33+'Exhibit G State'!D25</f>
        <v>-0.4</v>
      </c>
      <c r="D37" s="194"/>
      <c r="E37" s="194">
        <f>+'Exhibit F'!F33+'Exhibit G State'!F25</f>
        <v>0</v>
      </c>
      <c r="F37" s="194"/>
      <c r="G37" s="194">
        <f>+'Exhibit F'!H33+'Exhibit G State'!H25</f>
        <v>0.10000000000000003</v>
      </c>
      <c r="H37" s="194"/>
      <c r="I37" s="194"/>
      <c r="J37" s="194"/>
      <c r="K37" s="194"/>
      <c r="L37" s="62"/>
      <c r="M37" s="194"/>
      <c r="N37" s="62"/>
      <c r="O37" s="194"/>
      <c r="P37" s="62"/>
      <c r="Q37" s="194"/>
      <c r="R37" s="194"/>
      <c r="S37" s="194"/>
      <c r="T37" s="194"/>
      <c r="U37" s="194"/>
      <c r="V37" s="194"/>
      <c r="W37" s="194"/>
      <c r="X37" s="194"/>
      <c r="Y37" s="194"/>
      <c r="Z37" s="62"/>
      <c r="AA37" s="193"/>
      <c r="AB37" s="194">
        <f t="shared" si="3"/>
        <v>-0.3</v>
      </c>
      <c r="AC37" s="62"/>
      <c r="AD37" s="858"/>
      <c r="AE37" s="194">
        <f>+'Exhibit F'!AF33+'Exhibit G State'!AF25</f>
        <v>0.30000000000000004</v>
      </c>
      <c r="AF37" s="62"/>
      <c r="AG37" s="1536"/>
      <c r="AH37" s="264">
        <f t="shared" si="4"/>
        <v>-0.6</v>
      </c>
      <c r="AI37" s="63"/>
      <c r="AJ37" s="374">
        <f>ROUND(IF(AE37=0,1,AH37/ABS(AE37)),3)</f>
        <v>-2</v>
      </c>
    </row>
    <row r="38" spans="1:36" ht="15">
      <c r="A38" s="284" t="s">
        <v>361</v>
      </c>
      <c r="B38" s="62"/>
      <c r="C38" s="194">
        <f>+'Exhibit F'!D34+'Exhibit G State'!D26</f>
        <v>22.1</v>
      </c>
      <c r="D38" s="194"/>
      <c r="E38" s="194">
        <f>+'Exhibit F'!F34+'Exhibit G State'!F26</f>
        <v>22.1</v>
      </c>
      <c r="F38" s="194"/>
      <c r="G38" s="194">
        <f>+'Exhibit F'!H34+'Exhibit G State'!H26</f>
        <v>23.700000000000003</v>
      </c>
      <c r="H38" s="194"/>
      <c r="I38" s="194"/>
      <c r="J38" s="194"/>
      <c r="K38" s="194"/>
      <c r="L38" s="62"/>
      <c r="M38" s="194"/>
      <c r="N38" s="62"/>
      <c r="O38" s="194"/>
      <c r="P38" s="62"/>
      <c r="Q38" s="194"/>
      <c r="R38" s="194"/>
      <c r="S38" s="194"/>
      <c r="T38" s="194"/>
      <c r="U38" s="194"/>
      <c r="V38" s="194"/>
      <c r="W38" s="194"/>
      <c r="X38" s="194"/>
      <c r="Y38" s="194"/>
      <c r="Z38" s="62"/>
      <c r="AA38" s="390"/>
      <c r="AB38" s="194">
        <f t="shared" si="3"/>
        <v>67.900000000000006</v>
      </c>
      <c r="AC38" s="62"/>
      <c r="AD38" s="858"/>
      <c r="AE38" s="194">
        <f>+'Exhibit F'!AF34+'Exhibit G State'!AF26</f>
        <v>65.5</v>
      </c>
      <c r="AF38" s="62"/>
      <c r="AG38" s="1536"/>
      <c r="AH38" s="264">
        <f t="shared" si="4"/>
        <v>2.4</v>
      </c>
      <c r="AI38" s="63"/>
      <c r="AJ38" s="542">
        <f t="shared" ref="AJ38" si="5">ROUND(IF(AE38=0,1,AH38/ABS(AE38)),3)</f>
        <v>3.6999999999999998E-2</v>
      </c>
    </row>
    <row r="39" spans="1:36" ht="15">
      <c r="A39" s="284" t="s">
        <v>362</v>
      </c>
      <c r="B39" s="62"/>
      <c r="C39" s="194">
        <f>+'Exhibit F'!D35+'Exhibit G State'!D27</f>
        <v>0</v>
      </c>
      <c r="D39" s="194"/>
      <c r="E39" s="194">
        <f>+'Exhibit F'!F35+'Exhibit G State'!F27</f>
        <v>0.1</v>
      </c>
      <c r="F39" s="194"/>
      <c r="G39" s="194">
        <f>+'Exhibit F'!H35+'Exhibit G State'!H27</f>
        <v>0</v>
      </c>
      <c r="H39" s="194"/>
      <c r="I39" s="194"/>
      <c r="J39" s="194"/>
      <c r="K39" s="194"/>
      <c r="L39" s="62"/>
      <c r="M39" s="194"/>
      <c r="N39" s="62"/>
      <c r="O39" s="194"/>
      <c r="P39" s="62"/>
      <c r="Q39" s="194"/>
      <c r="R39" s="194"/>
      <c r="S39" s="194"/>
      <c r="T39" s="194"/>
      <c r="U39" s="194"/>
      <c r="V39" s="194"/>
      <c r="W39" s="194"/>
      <c r="X39" s="194"/>
      <c r="Y39" s="194"/>
      <c r="Z39" s="62"/>
      <c r="AA39" s="390"/>
      <c r="AB39" s="194">
        <f t="shared" si="3"/>
        <v>0.1</v>
      </c>
      <c r="AC39" s="62"/>
      <c r="AD39" s="858"/>
      <c r="AE39" s="194">
        <f>+'Exhibit F'!AF35+'Exhibit G State'!AF27</f>
        <v>0.2</v>
      </c>
      <c r="AF39" s="62"/>
      <c r="AG39" s="1536"/>
      <c r="AH39" s="264">
        <f t="shared" si="4"/>
        <v>-0.1</v>
      </c>
      <c r="AI39" s="63"/>
      <c r="AJ39" s="542">
        <f>ROUND(IF(AE39=0,1,AH39/ABS(AE39)),3)</f>
        <v>-0.5</v>
      </c>
    </row>
    <row r="40" spans="1:36" ht="15">
      <c r="A40" s="284" t="s">
        <v>437</v>
      </c>
      <c r="B40" s="62"/>
      <c r="C40" s="194">
        <f>'Exhibit F'!D36+'Exhibit G'!D28</f>
        <v>0.3</v>
      </c>
      <c r="D40" s="194"/>
      <c r="E40" s="194">
        <f>'Exhibit F'!F36+'Exhibit G'!F28</f>
        <v>0</v>
      </c>
      <c r="F40" s="194"/>
      <c r="G40" s="194">
        <f>'Exhibit F'!H36+'Exhibit G'!H28</f>
        <v>4.6000000000000005</v>
      </c>
      <c r="H40" s="194"/>
      <c r="I40" s="194"/>
      <c r="J40" s="194"/>
      <c r="K40" s="194"/>
      <c r="L40" s="62"/>
      <c r="M40" s="194"/>
      <c r="N40" s="62"/>
      <c r="O40" s="194"/>
      <c r="P40" s="62"/>
      <c r="Q40" s="194"/>
      <c r="R40" s="194"/>
      <c r="S40" s="194"/>
      <c r="T40" s="194"/>
      <c r="U40" s="194"/>
      <c r="V40" s="194"/>
      <c r="W40" s="194"/>
      <c r="X40" s="194"/>
      <c r="Y40" s="194"/>
      <c r="Z40" s="62"/>
      <c r="AA40" s="390"/>
      <c r="AB40" s="194">
        <f>ROUND(SUM(C40:Y40),1)</f>
        <v>4.9000000000000004</v>
      </c>
      <c r="AC40" s="62"/>
      <c r="AD40" s="858"/>
      <c r="AE40" s="194">
        <f>+'Exhibit F'!AF36+'Exhibit G State'!AF28</f>
        <v>5</v>
      </c>
      <c r="AF40" s="62"/>
      <c r="AG40" s="1536"/>
      <c r="AH40" s="264">
        <f>ROUND(SUM(+AB40-AE40),1)</f>
        <v>-0.1</v>
      </c>
      <c r="AI40" s="63"/>
      <c r="AJ40" s="542">
        <f>ROUND(IF(AE40=0,1,AH40/ABS(AE40)),3)</f>
        <v>-0.02</v>
      </c>
    </row>
    <row r="41" spans="1:36" ht="15">
      <c r="A41" s="284" t="s">
        <v>364</v>
      </c>
      <c r="B41" s="62"/>
      <c r="C41" s="194">
        <f>'Exhibit F'!D37</f>
        <v>4.5999999999999996</v>
      </c>
      <c r="D41" s="194"/>
      <c r="E41" s="194">
        <f>'Exhibit F'!F37</f>
        <v>0</v>
      </c>
      <c r="F41" s="194"/>
      <c r="G41" s="194">
        <f>'Exhibit F'!H37</f>
        <v>0</v>
      </c>
      <c r="H41" s="194"/>
      <c r="I41" s="194"/>
      <c r="J41" s="194"/>
      <c r="K41" s="194"/>
      <c r="L41" s="62"/>
      <c r="M41" s="194"/>
      <c r="N41" s="62"/>
      <c r="O41" s="194"/>
      <c r="P41" s="62"/>
      <c r="Q41" s="194"/>
      <c r="R41" s="194"/>
      <c r="S41" s="194"/>
      <c r="T41" s="194"/>
      <c r="U41" s="194"/>
      <c r="V41" s="194"/>
      <c r="W41" s="194"/>
      <c r="X41" s="194"/>
      <c r="Y41" s="194"/>
      <c r="Z41" s="62"/>
      <c r="AA41" s="390"/>
      <c r="AB41" s="194">
        <f t="shared" ref="AB41" si="6">ROUND(SUM(C41:Y41),1)</f>
        <v>4.5999999999999996</v>
      </c>
      <c r="AC41" s="62"/>
      <c r="AD41" s="858"/>
      <c r="AE41" s="194">
        <f>+'Exhibit F'!AF37</f>
        <v>4.9000000000000004</v>
      </c>
      <c r="AF41" s="62"/>
      <c r="AG41" s="1536"/>
      <c r="AH41" s="264">
        <f t="shared" ref="AH41" si="7">ROUND(SUM(+AB41-AE41),1)</f>
        <v>-0.3</v>
      </c>
      <c r="AI41" s="63"/>
      <c r="AJ41" s="542">
        <f>ROUND(IF(AE41=0,1,AH41/ABS(AE41)),3)</f>
        <v>-6.0999999999999999E-2</v>
      </c>
    </row>
    <row r="42" spans="1:36" ht="15.75">
      <c r="A42" s="83" t="s">
        <v>365</v>
      </c>
      <c r="B42" s="62"/>
      <c r="C42" s="68">
        <f>ROUND(SUM(C32:C41),1)</f>
        <v>1877.5</v>
      </c>
      <c r="D42" s="62"/>
      <c r="E42" s="68">
        <f>ROUND(SUM(E32:E41),1)</f>
        <v>1823.6</v>
      </c>
      <c r="F42" s="62"/>
      <c r="G42" s="68">
        <f>ROUND(SUM(G32:G41),1)</f>
        <v>2348.5</v>
      </c>
      <c r="H42" s="62"/>
      <c r="I42" s="68">
        <f>ROUND(SUM(I32:I41),1)</f>
        <v>0</v>
      </c>
      <c r="J42" s="62"/>
      <c r="K42" s="68">
        <f>ROUND(SUM(K32:K41),1)</f>
        <v>0</v>
      </c>
      <c r="L42" s="62"/>
      <c r="M42" s="68">
        <f>ROUND(SUM(M32:M41),1)</f>
        <v>0</v>
      </c>
      <c r="N42" s="62"/>
      <c r="O42" s="68">
        <f>ROUND(SUM(O32:O41),1)</f>
        <v>0</v>
      </c>
      <c r="P42" s="62"/>
      <c r="Q42" s="68">
        <f>ROUND(SUM(Q32:Q41),1)</f>
        <v>0</v>
      </c>
      <c r="R42" s="62"/>
      <c r="S42" s="68">
        <f>ROUND(SUM(S32:S41),1)</f>
        <v>0</v>
      </c>
      <c r="T42" s="62"/>
      <c r="U42" s="68">
        <f>ROUND(SUM(U32:U41),1)</f>
        <v>0</v>
      </c>
      <c r="V42" s="62"/>
      <c r="W42" s="68">
        <f>ROUND(SUM(W32:W41),1)</f>
        <v>0</v>
      </c>
      <c r="X42" s="62"/>
      <c r="Y42" s="68">
        <f>ROUND(SUM(Y32:Y41),1)</f>
        <v>0</v>
      </c>
      <c r="Z42" s="62"/>
      <c r="AA42" s="390"/>
      <c r="AB42" s="68">
        <f>ROUND(SUM(AB32:AB41),1)</f>
        <v>6049.6</v>
      </c>
      <c r="AC42" s="62"/>
      <c r="AD42" s="858"/>
      <c r="AE42" s="68">
        <f>ROUND(SUM(AE32:AE41),1)</f>
        <v>5610</v>
      </c>
      <c r="AF42" s="62"/>
      <c r="AG42" s="1536"/>
      <c r="AH42" s="68">
        <f>ROUND(SUM(AH32:AH41),1)</f>
        <v>439.6</v>
      </c>
      <c r="AI42" s="321"/>
      <c r="AJ42" s="416">
        <f>ROUND(SUM(+AH42/ABS(AE42)),3)</f>
        <v>7.8E-2</v>
      </c>
    </row>
    <row r="43" spans="1:36" ht="15">
      <c r="A43" s="412" t="s">
        <v>366</v>
      </c>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390"/>
      <c r="AB43" s="62"/>
      <c r="AC43" s="62"/>
      <c r="AD43" s="858"/>
      <c r="AE43" s="194"/>
      <c r="AF43" s="62"/>
      <c r="AG43" s="1536"/>
      <c r="AH43" s="268"/>
      <c r="AI43" s="62"/>
      <c r="AJ43" s="268"/>
    </row>
    <row r="44" spans="1:36" ht="15">
      <c r="A44" s="284" t="s">
        <v>367</v>
      </c>
      <c r="B44" s="62"/>
      <c r="C44" s="194">
        <f>+'Exhibit F'!D40+'Exhibit G State'!D31</f>
        <v>1054.3</v>
      </c>
      <c r="D44" s="194"/>
      <c r="E44" s="194">
        <f>+'Exhibit F'!F40+'Exhibit G State'!F31</f>
        <v>170.40000000000003</v>
      </c>
      <c r="F44" s="194"/>
      <c r="G44" s="194">
        <f>+'Exhibit F'!H40+'Exhibit G State'!H31</f>
        <v>2301.7000000000003</v>
      </c>
      <c r="H44" s="194"/>
      <c r="I44" s="194"/>
      <c r="J44" s="194"/>
      <c r="K44" s="194"/>
      <c r="L44" s="194"/>
      <c r="M44" s="194"/>
      <c r="N44" s="62"/>
      <c r="O44" s="194"/>
      <c r="P44" s="62"/>
      <c r="Q44" s="194"/>
      <c r="R44" s="194"/>
      <c r="S44" s="194"/>
      <c r="T44" s="194"/>
      <c r="U44" s="194"/>
      <c r="V44" s="194"/>
      <c r="W44" s="194"/>
      <c r="X44" s="194"/>
      <c r="Y44" s="194"/>
      <c r="Z44" s="62"/>
      <c r="AA44" s="390"/>
      <c r="AB44" s="194">
        <f t="shared" ref="AB44:AB49" si="8">ROUND(SUM(C44:Y44),1)</f>
        <v>3526.4</v>
      </c>
      <c r="AC44" s="62"/>
      <c r="AD44" s="858"/>
      <c r="AE44" s="194">
        <f>+'Exhibit F'!AF40+'Exhibit G State'!AF31</f>
        <v>2617.5</v>
      </c>
      <c r="AF44" s="62"/>
      <c r="AG44" s="1536"/>
      <c r="AH44" s="264">
        <f t="shared" ref="AH44:AH56" si="9">ROUND(SUM(+AB44-AE44),1)</f>
        <v>908.9</v>
      </c>
      <c r="AI44" s="63"/>
      <c r="AJ44" s="283">
        <f t="shared" ref="AJ44:AJ50" si="10">ROUND(SUM(+AH44/ABS(AE44)),3)</f>
        <v>0.34699999999999998</v>
      </c>
    </row>
    <row r="45" spans="1:36" ht="15">
      <c r="A45" s="284" t="s">
        <v>368</v>
      </c>
      <c r="B45" s="62"/>
      <c r="C45" s="194">
        <f>+'Exhibit G State'!D32+'Exhibit F'!D41</f>
        <v>43.2</v>
      </c>
      <c r="D45" s="194"/>
      <c r="E45" s="194">
        <f>+'Exhibit G State'!F32+'Exhibit F'!F41</f>
        <v>0.59999999999999964</v>
      </c>
      <c r="F45" s="194"/>
      <c r="G45" s="194">
        <f>+'Exhibit G State'!H32+'Exhibit F'!H41</f>
        <v>124.40000000000002</v>
      </c>
      <c r="H45" s="194"/>
      <c r="I45" s="194"/>
      <c r="J45" s="194"/>
      <c r="K45" s="194"/>
      <c r="L45" s="194"/>
      <c r="M45" s="194"/>
      <c r="N45" s="62"/>
      <c r="O45" s="194"/>
      <c r="P45" s="62"/>
      <c r="Q45" s="194"/>
      <c r="R45" s="194"/>
      <c r="S45" s="194"/>
      <c r="T45" s="194"/>
      <c r="U45" s="194"/>
      <c r="V45" s="194"/>
      <c r="W45" s="194"/>
      <c r="X45" s="194"/>
      <c r="Y45" s="194"/>
      <c r="Z45" s="62"/>
      <c r="AA45" s="390"/>
      <c r="AB45" s="194">
        <f t="shared" si="8"/>
        <v>168.2</v>
      </c>
      <c r="AC45" s="62"/>
      <c r="AD45" s="858"/>
      <c r="AE45" s="194">
        <f>+'Exhibit G State'!AF32+'Exhibit F'!AF41</f>
        <v>128.60000000000002</v>
      </c>
      <c r="AF45" s="62"/>
      <c r="AG45" s="1536"/>
      <c r="AH45" s="264">
        <f t="shared" si="9"/>
        <v>39.6</v>
      </c>
      <c r="AI45" s="63"/>
      <c r="AJ45" s="283">
        <f t="shared" si="10"/>
        <v>0.308</v>
      </c>
    </row>
    <row r="46" spans="1:36" ht="15">
      <c r="A46" s="284" t="s">
        <v>369</v>
      </c>
      <c r="B46" s="62"/>
      <c r="C46" s="194">
        <f>+'Exhibit F'!D42+'Exhibit G State'!D33</f>
        <v>85.7</v>
      </c>
      <c r="D46" s="194"/>
      <c r="E46" s="194">
        <f>+'Exhibit F'!F42+'Exhibit G State'!F33</f>
        <v>38</v>
      </c>
      <c r="F46" s="194"/>
      <c r="G46" s="194">
        <f>+'Exhibit F'!H42+'Exhibit G State'!H33</f>
        <v>462.6</v>
      </c>
      <c r="H46" s="194"/>
      <c r="I46" s="194"/>
      <c r="J46" s="194"/>
      <c r="K46" s="194"/>
      <c r="L46" s="194"/>
      <c r="M46" s="194"/>
      <c r="N46" s="62"/>
      <c r="O46" s="194"/>
      <c r="P46" s="62"/>
      <c r="Q46" s="194"/>
      <c r="R46" s="194"/>
      <c r="S46" s="194"/>
      <c r="T46" s="194"/>
      <c r="U46" s="194"/>
      <c r="V46" s="194"/>
      <c r="W46" s="194"/>
      <c r="X46" s="194"/>
      <c r="Y46" s="194"/>
      <c r="Z46" s="62"/>
      <c r="AA46" s="390"/>
      <c r="AB46" s="194">
        <f t="shared" si="8"/>
        <v>586.29999999999995</v>
      </c>
      <c r="AC46" s="62"/>
      <c r="AD46" s="858"/>
      <c r="AE46" s="194">
        <f>+'Exhibit F'!AF42+'Exhibit G State'!AF33</f>
        <v>573.40000000000009</v>
      </c>
      <c r="AF46" s="62"/>
      <c r="AG46" s="1536"/>
      <c r="AH46" s="264">
        <f t="shared" si="9"/>
        <v>12.9</v>
      </c>
      <c r="AI46" s="63"/>
      <c r="AJ46" s="283">
        <f t="shared" si="10"/>
        <v>2.1999999999999999E-2</v>
      </c>
    </row>
    <row r="47" spans="1:36" ht="15">
      <c r="A47" s="284" t="s">
        <v>370</v>
      </c>
      <c r="B47" s="62"/>
      <c r="C47" s="194">
        <f>+'Exhibit F'!D43+'Exhibit G State'!D34</f>
        <v>21.9</v>
      </c>
      <c r="D47" s="194"/>
      <c r="E47" s="194">
        <f>+'Exhibit F'!F43+'Exhibit G State'!F34</f>
        <v>0</v>
      </c>
      <c r="F47" s="194"/>
      <c r="G47" s="194">
        <f>+'Exhibit F'!H43+'Exhibit G State'!H34</f>
        <v>0</v>
      </c>
      <c r="H47" s="194"/>
      <c r="I47" s="194"/>
      <c r="J47" s="194"/>
      <c r="K47" s="194"/>
      <c r="L47" s="194"/>
      <c r="M47" s="194"/>
      <c r="N47" s="62"/>
      <c r="O47" s="194"/>
      <c r="P47" s="62"/>
      <c r="Q47" s="194"/>
      <c r="R47" s="194"/>
      <c r="S47" s="194"/>
      <c r="T47" s="194"/>
      <c r="U47" s="194"/>
      <c r="V47" s="194"/>
      <c r="W47" s="194"/>
      <c r="X47" s="194"/>
      <c r="Y47" s="194"/>
      <c r="Z47" s="62"/>
      <c r="AA47" s="390"/>
      <c r="AB47" s="194">
        <f t="shared" si="8"/>
        <v>21.9</v>
      </c>
      <c r="AC47" s="62"/>
      <c r="AD47" s="858"/>
      <c r="AE47" s="194">
        <f>+'Exhibit F'!AF43+'Exhibit G State'!AF34</f>
        <v>-4.5999999999999996</v>
      </c>
      <c r="AF47" s="62"/>
      <c r="AG47" s="1536"/>
      <c r="AH47" s="264">
        <f t="shared" si="9"/>
        <v>26.5</v>
      </c>
      <c r="AI47" s="63"/>
      <c r="AJ47" s="542">
        <f>ROUND(IF(AE47=0,1,AH47/ABS(AE47)),3)</f>
        <v>5.7610000000000001</v>
      </c>
    </row>
    <row r="48" spans="1:36" ht="15">
      <c r="A48" s="284" t="s">
        <v>371</v>
      </c>
      <c r="B48" s="62"/>
      <c r="C48" s="194">
        <f>+'Exhibit F'!D44+'Exhibit H'!B23</f>
        <v>48.8</v>
      </c>
      <c r="D48" s="194"/>
      <c r="E48" s="194">
        <f>+'Exhibit F'!F44+'Exhibit H'!D23</f>
        <v>236.2</v>
      </c>
      <c r="F48" s="194"/>
      <c r="G48" s="194">
        <f>+'Exhibit F'!H44+'Exhibit H'!F23</f>
        <v>4585.8999999999996</v>
      </c>
      <c r="H48" s="194"/>
      <c r="I48" s="194"/>
      <c r="J48" s="194"/>
      <c r="K48" s="194"/>
      <c r="L48" s="194"/>
      <c r="M48" s="194"/>
      <c r="N48" s="62"/>
      <c r="O48" s="194"/>
      <c r="P48" s="62"/>
      <c r="Q48" s="194"/>
      <c r="R48" s="194"/>
      <c r="S48" s="194"/>
      <c r="T48" s="194"/>
      <c r="U48" s="194"/>
      <c r="V48" s="194"/>
      <c r="W48" s="194"/>
      <c r="X48" s="194"/>
      <c r="Y48" s="194"/>
      <c r="Z48" s="62"/>
      <c r="AA48" s="390"/>
      <c r="AB48" s="194">
        <f t="shared" si="8"/>
        <v>4870.8999999999996</v>
      </c>
      <c r="AC48" s="62"/>
      <c r="AD48" s="858"/>
      <c r="AE48" s="194">
        <f>+'Exhibit F'!AF44+'Exhibit H'!AD23</f>
        <v>3938.8</v>
      </c>
      <c r="AF48" s="62"/>
      <c r="AG48" s="1536"/>
      <c r="AH48" s="264">
        <f t="shared" si="9"/>
        <v>932.1</v>
      </c>
      <c r="AI48" s="63"/>
      <c r="AJ48" s="266">
        <f>ROUND(IF(AE48=0,1,AH48/ABS(AE48)),3)</f>
        <v>0.23699999999999999</v>
      </c>
    </row>
    <row r="49" spans="1:36" ht="15">
      <c r="A49" s="284" t="s">
        <v>372</v>
      </c>
      <c r="B49" s="62"/>
      <c r="C49" s="194">
        <f>+'Exhibit F'!D45+'Exhibit G State'!D35</f>
        <v>32.700000000000003</v>
      </c>
      <c r="D49" s="194"/>
      <c r="E49" s="194">
        <f>+'Exhibit F'!F45+'Exhibit G State'!F35</f>
        <v>34.399999999999991</v>
      </c>
      <c r="F49" s="194"/>
      <c r="G49" s="194">
        <f>+'Exhibit F'!H45+'Exhibit G State'!H35</f>
        <v>39.100000000000009</v>
      </c>
      <c r="H49" s="194"/>
      <c r="I49" s="194"/>
      <c r="J49" s="194"/>
      <c r="K49" s="194"/>
      <c r="L49" s="194"/>
      <c r="M49" s="194"/>
      <c r="N49" s="62"/>
      <c r="O49" s="194"/>
      <c r="P49" s="62"/>
      <c r="Q49" s="194"/>
      <c r="R49" s="194"/>
      <c r="S49" s="194"/>
      <c r="T49" s="194"/>
      <c r="U49" s="194"/>
      <c r="V49" s="194"/>
      <c r="W49" s="194"/>
      <c r="X49" s="194"/>
      <c r="Y49" s="194"/>
      <c r="Z49" s="62"/>
      <c r="AA49" s="390"/>
      <c r="AB49" s="194">
        <f t="shared" si="8"/>
        <v>106.2</v>
      </c>
      <c r="AC49" s="62"/>
      <c r="AD49" s="858"/>
      <c r="AE49" s="194">
        <f>+'Exhibit F'!AF45+'Exhibit G State'!AF35</f>
        <v>112.4</v>
      </c>
      <c r="AF49" s="62"/>
      <c r="AG49" s="1536"/>
      <c r="AH49" s="264">
        <f t="shared" si="9"/>
        <v>-6.2</v>
      </c>
      <c r="AI49" s="63"/>
      <c r="AJ49" s="283">
        <f t="shared" si="10"/>
        <v>-5.5E-2</v>
      </c>
    </row>
    <row r="50" spans="1:36" ht="15.75">
      <c r="A50" s="83" t="s">
        <v>373</v>
      </c>
      <c r="B50" s="62"/>
      <c r="C50" s="68">
        <f>ROUND(SUM(C44:C49),1)</f>
        <v>1286.5999999999999</v>
      </c>
      <c r="D50" s="62"/>
      <c r="E50" s="68">
        <f>ROUND(SUM(E44:E49),1)</f>
        <v>479.6</v>
      </c>
      <c r="F50" s="62"/>
      <c r="G50" s="68">
        <f>ROUND(SUM(G44:G49),1)</f>
        <v>7513.7</v>
      </c>
      <c r="H50" s="62"/>
      <c r="I50" s="68">
        <f>ROUND(SUM(I44:I49),1)</f>
        <v>0</v>
      </c>
      <c r="J50" s="62"/>
      <c r="K50" s="68">
        <f>ROUND(SUM(K44:K49),1)</f>
        <v>0</v>
      </c>
      <c r="L50" s="62"/>
      <c r="M50" s="68">
        <f>ROUND(SUM(M44:M49),1)</f>
        <v>0</v>
      </c>
      <c r="N50" s="62"/>
      <c r="O50" s="68">
        <f>ROUND(SUM(O44:O49),1)</f>
        <v>0</v>
      </c>
      <c r="P50" s="62"/>
      <c r="Q50" s="68">
        <f>ROUND(SUM(Q44:Q49),1)</f>
        <v>0</v>
      </c>
      <c r="R50" s="62"/>
      <c r="S50" s="68">
        <f>ROUND(SUM(S44:S49),1)</f>
        <v>0</v>
      </c>
      <c r="T50" s="62"/>
      <c r="U50" s="68">
        <f>ROUND(SUM(U44:U49),1)</f>
        <v>0</v>
      </c>
      <c r="V50" s="62"/>
      <c r="W50" s="68">
        <f>ROUND(SUM(W44:W49),1)</f>
        <v>0</v>
      </c>
      <c r="X50" s="62"/>
      <c r="Y50" s="68">
        <f>ROUND(SUM(Y44:Y49),1)</f>
        <v>0</v>
      </c>
      <c r="Z50" s="62"/>
      <c r="AA50" s="390"/>
      <c r="AB50" s="68">
        <f>ROUND(SUM(AB44:AB49),1)</f>
        <v>9279.9</v>
      </c>
      <c r="AC50" s="62"/>
      <c r="AD50" s="858"/>
      <c r="AE50" s="68">
        <f>ROUND(SUM(AE44:AE49),1)</f>
        <v>7366.1</v>
      </c>
      <c r="AF50" s="62"/>
      <c r="AG50" s="1536"/>
      <c r="AH50" s="68">
        <f>ROUND(SUM(AH44:AH49),1)</f>
        <v>1913.8</v>
      </c>
      <c r="AI50" s="321"/>
      <c r="AJ50" s="416">
        <f t="shared" si="10"/>
        <v>0.26</v>
      </c>
    </row>
    <row r="51" spans="1:36" ht="15">
      <c r="A51" s="412" t="s">
        <v>374</v>
      </c>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390"/>
      <c r="AB51" s="62"/>
      <c r="AC51" s="62"/>
      <c r="AD51" s="858"/>
      <c r="AE51" s="194"/>
      <c r="AF51" s="62"/>
      <c r="AG51" s="1536"/>
      <c r="AH51" s="268"/>
      <c r="AI51" s="62"/>
      <c r="AJ51" s="268"/>
    </row>
    <row r="52" spans="1:36" ht="15">
      <c r="A52" s="284" t="s">
        <v>375</v>
      </c>
      <c r="B52" s="62"/>
      <c r="C52" s="194">
        <f>+'Exhibit F'!D48</f>
        <v>0</v>
      </c>
      <c r="D52" s="194"/>
      <c r="E52" s="194">
        <f>+'Exhibit F'!F48</f>
        <v>0</v>
      </c>
      <c r="F52" s="194"/>
      <c r="G52" s="194">
        <f>+'Exhibit F'!H48</f>
        <v>0</v>
      </c>
      <c r="H52" s="194"/>
      <c r="I52" s="194"/>
      <c r="J52" s="194"/>
      <c r="K52" s="194"/>
      <c r="L52" s="62"/>
      <c r="M52" s="194"/>
      <c r="N52" s="62"/>
      <c r="O52" s="194"/>
      <c r="P52" s="62"/>
      <c r="Q52" s="194"/>
      <c r="R52" s="194"/>
      <c r="S52" s="194"/>
      <c r="T52" s="194"/>
      <c r="U52" s="194"/>
      <c r="V52" s="194"/>
      <c r="W52" s="194"/>
      <c r="X52" s="194"/>
      <c r="Y52" s="194"/>
      <c r="Z52" s="62"/>
      <c r="AA52" s="390"/>
      <c r="AB52" s="194">
        <f t="shared" ref="AB52:AB56" si="11">ROUND(SUM(C52:Y52),1)</f>
        <v>0</v>
      </c>
      <c r="AC52" s="62"/>
      <c r="AD52" s="858"/>
      <c r="AE52" s="194">
        <f>+'Exhibit F'!AF48</f>
        <v>0</v>
      </c>
      <c r="AF52" s="62"/>
      <c r="AG52" s="1536"/>
      <c r="AH52" s="264">
        <f t="shared" si="9"/>
        <v>0</v>
      </c>
      <c r="AI52" s="62"/>
      <c r="AJ52" s="266">
        <f>ROUND(IF(AE52=0,0,AH52/ABS(AE52)),3)</f>
        <v>0</v>
      </c>
    </row>
    <row r="53" spans="1:36" ht="15">
      <c r="A53" s="284" t="s">
        <v>376</v>
      </c>
      <c r="B53" s="62"/>
      <c r="C53" s="194">
        <f>+'Exhibit F'!D49</f>
        <v>165.8</v>
      </c>
      <c r="D53" s="194"/>
      <c r="E53" s="194">
        <f>+'Exhibit F'!F49</f>
        <v>113.10000000000002</v>
      </c>
      <c r="F53" s="194"/>
      <c r="G53" s="194">
        <f>+'Exhibit F'!H49</f>
        <v>94.599999999999966</v>
      </c>
      <c r="H53" s="194"/>
      <c r="I53" s="194"/>
      <c r="J53" s="194"/>
      <c r="K53" s="194"/>
      <c r="L53" s="62"/>
      <c r="M53" s="194"/>
      <c r="N53" s="62"/>
      <c r="O53" s="194"/>
      <c r="P53" s="62"/>
      <c r="Q53" s="194"/>
      <c r="R53" s="194"/>
      <c r="S53" s="194"/>
      <c r="T53" s="194"/>
      <c r="U53" s="194"/>
      <c r="V53" s="194"/>
      <c r="W53" s="194"/>
      <c r="X53" s="194"/>
      <c r="Y53" s="194"/>
      <c r="Z53" s="62"/>
      <c r="AA53" s="390"/>
      <c r="AB53" s="194">
        <f t="shared" si="11"/>
        <v>373.5</v>
      </c>
      <c r="AC53" s="62"/>
      <c r="AD53" s="858"/>
      <c r="AE53" s="194">
        <f>+'Exhibit F'!AF49</f>
        <v>395.3</v>
      </c>
      <c r="AF53" s="62"/>
      <c r="AG53" s="1536"/>
      <c r="AH53" s="264">
        <f t="shared" si="9"/>
        <v>-21.8</v>
      </c>
      <c r="AI53" s="62"/>
      <c r="AJ53" s="283">
        <f t="shared" ref="AJ53:AJ58" si="12">ROUND(SUM(+AH53/ABS(AE53)),3)</f>
        <v>-5.5E-2</v>
      </c>
    </row>
    <row r="54" spans="1:36" ht="15">
      <c r="A54" s="284" t="s">
        <v>377</v>
      </c>
      <c r="B54" s="62"/>
      <c r="C54" s="194">
        <f>+'Exhibit F'!D50</f>
        <v>1</v>
      </c>
      <c r="D54" s="194"/>
      <c r="E54" s="194">
        <f>+'Exhibit F'!F50</f>
        <v>0.8</v>
      </c>
      <c r="F54" s="194"/>
      <c r="G54" s="194">
        <f>+'Exhibit F'!H50</f>
        <v>1.2000000000000002</v>
      </c>
      <c r="H54" s="194"/>
      <c r="I54" s="194"/>
      <c r="J54" s="194"/>
      <c r="K54" s="194"/>
      <c r="L54" s="62"/>
      <c r="M54" s="194"/>
      <c r="N54" s="62"/>
      <c r="O54" s="194"/>
      <c r="P54" s="62"/>
      <c r="Q54" s="194"/>
      <c r="R54" s="194"/>
      <c r="S54" s="194"/>
      <c r="T54" s="194"/>
      <c r="U54" s="194"/>
      <c r="V54" s="194"/>
      <c r="W54" s="194"/>
      <c r="X54" s="194"/>
      <c r="Y54" s="194"/>
      <c r="Z54" s="62"/>
      <c r="AA54" s="390"/>
      <c r="AB54" s="194">
        <f t="shared" si="11"/>
        <v>3</v>
      </c>
      <c r="AC54" s="62"/>
      <c r="AD54" s="858"/>
      <c r="AE54" s="194">
        <f>+'Exhibit F'!AF50</f>
        <v>3.6</v>
      </c>
      <c r="AF54" s="62"/>
      <c r="AG54" s="1536"/>
      <c r="AH54" s="264">
        <f t="shared" si="9"/>
        <v>-0.6</v>
      </c>
      <c r="AI54" s="62"/>
      <c r="AJ54" s="283">
        <f t="shared" si="12"/>
        <v>-0.16700000000000001</v>
      </c>
    </row>
    <row r="55" spans="1:36" ht="15">
      <c r="A55" s="284" t="s">
        <v>378</v>
      </c>
      <c r="B55" s="62"/>
      <c r="C55" s="194">
        <f>+'Exhibit F'!D51+'Exhibit H'!B26</f>
        <v>118.6</v>
      </c>
      <c r="D55" s="194"/>
      <c r="E55" s="194">
        <f>+'Exhibit F'!F51+'Exhibit H'!D26</f>
        <v>104.70000000000002</v>
      </c>
      <c r="F55" s="194"/>
      <c r="G55" s="194">
        <f>+'Exhibit F'!H51+'Exhibit H'!F26</f>
        <v>98.099999999999966</v>
      </c>
      <c r="H55" s="194"/>
      <c r="I55" s="194"/>
      <c r="J55" s="194"/>
      <c r="K55" s="194"/>
      <c r="L55" s="62"/>
      <c r="M55" s="194"/>
      <c r="N55" s="62"/>
      <c r="O55" s="194"/>
      <c r="P55" s="62"/>
      <c r="Q55" s="194"/>
      <c r="R55" s="194"/>
      <c r="S55" s="194"/>
      <c r="T55" s="194"/>
      <c r="U55" s="194"/>
      <c r="V55" s="194"/>
      <c r="W55" s="194"/>
      <c r="X55" s="194"/>
      <c r="Y55" s="194"/>
      <c r="Z55" s="62"/>
      <c r="AA55" s="390"/>
      <c r="AB55" s="194">
        <f t="shared" si="11"/>
        <v>321.39999999999998</v>
      </c>
      <c r="AC55" s="62"/>
      <c r="AD55" s="858"/>
      <c r="AE55" s="194">
        <f>+'Exhibit F'!AF51+'Exhibit I State'!AG27+'Exhibit H'!AD26</f>
        <v>290.8</v>
      </c>
      <c r="AF55" s="62"/>
      <c r="AG55" s="1536"/>
      <c r="AH55" s="264">
        <f t="shared" si="9"/>
        <v>30.6</v>
      </c>
      <c r="AI55" s="62"/>
      <c r="AJ55" s="283">
        <f t="shared" si="12"/>
        <v>0.105</v>
      </c>
    </row>
    <row r="56" spans="1:36" ht="15">
      <c r="A56" s="284" t="s">
        <v>379</v>
      </c>
      <c r="B56" s="62"/>
      <c r="C56" s="194">
        <f>+'Exhibit F'!D52</f>
        <v>0.1</v>
      </c>
      <c r="D56" s="194"/>
      <c r="E56" s="194">
        <f>+'Exhibit F'!F52</f>
        <v>0</v>
      </c>
      <c r="F56" s="194"/>
      <c r="G56" s="194">
        <f>+'Exhibit F'!H52</f>
        <v>0</v>
      </c>
      <c r="H56" s="194"/>
      <c r="I56" s="194"/>
      <c r="J56" s="194"/>
      <c r="K56" s="194"/>
      <c r="L56" s="62"/>
      <c r="M56" s="194"/>
      <c r="N56" s="62"/>
      <c r="O56" s="194"/>
      <c r="P56" s="62"/>
      <c r="Q56" s="194"/>
      <c r="R56" s="194"/>
      <c r="S56" s="194"/>
      <c r="T56" s="194"/>
      <c r="U56" s="194"/>
      <c r="V56" s="194"/>
      <c r="W56" s="194"/>
      <c r="X56" s="194"/>
      <c r="Y56" s="194"/>
      <c r="Z56" s="62"/>
      <c r="AA56" s="390"/>
      <c r="AB56" s="194">
        <f t="shared" si="11"/>
        <v>0.1</v>
      </c>
      <c r="AC56" s="62"/>
      <c r="AD56" s="858"/>
      <c r="AE56" s="194">
        <f>+'Exhibit F'!AF52</f>
        <v>0.1</v>
      </c>
      <c r="AF56" s="62"/>
      <c r="AG56" s="1536"/>
      <c r="AH56" s="264">
        <f t="shared" si="9"/>
        <v>0</v>
      </c>
      <c r="AI56" s="62"/>
      <c r="AJ56" s="266">
        <f>ROUND(IF(AE56=0,1,AH56/ABS(AE56)),3)</f>
        <v>0</v>
      </c>
    </row>
    <row r="57" spans="1:36" ht="15">
      <c r="A57" s="420" t="s">
        <v>380</v>
      </c>
      <c r="B57" s="62"/>
      <c r="C57" s="194">
        <f>+'Exhibit F'!D53+'Exhibit H'!B27</f>
        <v>0.2</v>
      </c>
      <c r="D57" s="194"/>
      <c r="E57" s="194">
        <f>+'Exhibit F'!F53+'Exhibit H'!D27</f>
        <v>0.2</v>
      </c>
      <c r="F57" s="194"/>
      <c r="G57" s="194">
        <f>+'Exhibit F'!H53+'Exhibit H'!F27</f>
        <v>0.30000000000000004</v>
      </c>
      <c r="H57" s="194"/>
      <c r="I57" s="194"/>
      <c r="J57" s="194"/>
      <c r="K57" s="194"/>
      <c r="L57" s="194"/>
      <c r="M57" s="194"/>
      <c r="N57" s="194"/>
      <c r="O57" s="194"/>
      <c r="P57" s="62"/>
      <c r="Q57" s="194"/>
      <c r="R57" s="194"/>
      <c r="S57" s="194"/>
      <c r="T57" s="194"/>
      <c r="U57" s="194"/>
      <c r="V57" s="194"/>
      <c r="W57" s="194"/>
      <c r="X57" s="194"/>
      <c r="Y57" s="194"/>
      <c r="Z57" s="62"/>
      <c r="AA57" s="390"/>
      <c r="AB57" s="194">
        <f t="shared" ref="AB57" si="13">ROUND(SUM(C57:Y57),1)</f>
        <v>0.7</v>
      </c>
      <c r="AC57" s="62"/>
      <c r="AD57" s="858"/>
      <c r="AE57" s="194">
        <f>+'Exhibit F'!AF53+'Exhibit H'!AD27</f>
        <v>1</v>
      </c>
      <c r="AF57" s="62"/>
      <c r="AG57" s="1536"/>
      <c r="AH57" s="264">
        <f t="shared" ref="AH57" si="14">ROUND(SUM(+AB57-AE57),1)</f>
        <v>-0.3</v>
      </c>
      <c r="AI57" s="63"/>
      <c r="AJ57" s="266">
        <f>ROUND(IF(AE57=0,1,AH57/ABS(AE57)),3)</f>
        <v>-0.3</v>
      </c>
    </row>
    <row r="58" spans="1:36" ht="15.75">
      <c r="A58" s="83" t="s">
        <v>381</v>
      </c>
      <c r="B58" s="62"/>
      <c r="C58" s="68">
        <f>ROUND(SUM(C52:C57),1)</f>
        <v>285.7</v>
      </c>
      <c r="D58" s="62"/>
      <c r="E58" s="68">
        <f>ROUND(SUM(E52:E57),1)</f>
        <v>218.8</v>
      </c>
      <c r="F58" s="62"/>
      <c r="G58" s="68">
        <f>ROUND(SUM(G52:G57),1)</f>
        <v>194.2</v>
      </c>
      <c r="H58" s="62"/>
      <c r="I58" s="68">
        <f>ROUND(SUM(I52:I57),1)</f>
        <v>0</v>
      </c>
      <c r="J58" s="62"/>
      <c r="K58" s="68">
        <f>ROUND(SUM(K52:K57),1)</f>
        <v>0</v>
      </c>
      <c r="L58" s="62"/>
      <c r="M58" s="68">
        <f>ROUND(SUM(M52:M57),1)</f>
        <v>0</v>
      </c>
      <c r="N58" s="62"/>
      <c r="O58" s="68">
        <f>ROUND(SUM(O52:O57),1)</f>
        <v>0</v>
      </c>
      <c r="P58" s="62"/>
      <c r="Q58" s="68">
        <f>ROUND(SUM(Q52:Q57),1)</f>
        <v>0</v>
      </c>
      <c r="R58" s="62"/>
      <c r="S58" s="68">
        <f>ROUND(SUM(S52:S57),1)</f>
        <v>0</v>
      </c>
      <c r="T58" s="62"/>
      <c r="U58" s="68">
        <f>ROUND(SUM(U52:U57),1)</f>
        <v>0</v>
      </c>
      <c r="V58" s="62"/>
      <c r="W58" s="68">
        <f>ROUND(SUM(W52:W57),1)</f>
        <v>0</v>
      </c>
      <c r="X58" s="62"/>
      <c r="Y58" s="68">
        <f>ROUND(SUM(Y52:Y57),1)</f>
        <v>0</v>
      </c>
      <c r="Z58" s="62"/>
      <c r="AA58" s="390"/>
      <c r="AB58" s="68">
        <f>ROUND(SUM(AB52:AB57),1)</f>
        <v>698.7</v>
      </c>
      <c r="AC58" s="62"/>
      <c r="AD58" s="858"/>
      <c r="AE58" s="68">
        <f>ROUND(SUM(AE52:AE57),1)</f>
        <v>690.8</v>
      </c>
      <c r="AF58" s="62"/>
      <c r="AG58" s="1536"/>
      <c r="AH58" s="68">
        <f>ROUND(SUM(AH52:AH57),1)</f>
        <v>7.9</v>
      </c>
      <c r="AI58" s="321"/>
      <c r="AJ58" s="416">
        <f t="shared" si="12"/>
        <v>1.0999999999999999E-2</v>
      </c>
    </row>
    <row r="59" spans="1:36" ht="15.75">
      <c r="A59" s="62"/>
      <c r="B59" s="62"/>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5"/>
      <c r="AB59" s="197"/>
      <c r="AC59" s="194"/>
      <c r="AD59" s="861"/>
      <c r="AE59" s="194"/>
      <c r="AF59" s="194"/>
      <c r="AG59" s="1538"/>
      <c r="AH59" s="194"/>
      <c r="AI59" s="62"/>
      <c r="AJ59" s="74"/>
    </row>
    <row r="60" spans="1:36" ht="15.75">
      <c r="A60" s="83" t="s">
        <v>438</v>
      </c>
      <c r="B60" s="364"/>
      <c r="C60" s="983">
        <f>ROUND(SUM(C58+C50+C42+C30),1)</f>
        <v>13904.2</v>
      </c>
      <c r="D60" s="264"/>
      <c r="E60" s="983">
        <f>ROUND(SUM(E58+E50+E42+E30),1)</f>
        <v>6571</v>
      </c>
      <c r="F60" s="264"/>
      <c r="G60" s="983">
        <f>ROUND(SUM(G58+G50+G42+G30),1)</f>
        <v>16439.2</v>
      </c>
      <c r="H60" s="264"/>
      <c r="I60" s="983">
        <f>ROUND(SUM(I58+I50+I42+I30),1)</f>
        <v>0</v>
      </c>
      <c r="J60" s="264"/>
      <c r="K60" s="983">
        <f>ROUND(SUM(K58+K50+K42+K30),1)</f>
        <v>0</v>
      </c>
      <c r="L60" s="264"/>
      <c r="M60" s="983">
        <f>ROUND(SUM(M58+M50+M42+M30),1)</f>
        <v>0</v>
      </c>
      <c r="N60" s="264"/>
      <c r="O60" s="983">
        <f>ROUND(SUM(O58+O50+O42+O30),1)</f>
        <v>0</v>
      </c>
      <c r="P60" s="264"/>
      <c r="Q60" s="983">
        <f>ROUND(SUM(Q58+Q50+Q42+Q30),1)</f>
        <v>0</v>
      </c>
      <c r="R60" s="264"/>
      <c r="S60" s="983">
        <f>ROUND(SUM(S58+S50+S42+S30),1)</f>
        <v>0</v>
      </c>
      <c r="T60" s="264"/>
      <c r="U60" s="983">
        <f>ROUND(SUM(U58+U50+U42+U30),1)</f>
        <v>0</v>
      </c>
      <c r="V60" s="264"/>
      <c r="W60" s="983">
        <f>ROUND(SUM(W58+W50+W42+W30),1)</f>
        <v>0</v>
      </c>
      <c r="X60" s="268"/>
      <c r="Y60" s="983">
        <f>ROUND(SUM(Y58+Y50+Y42+Y30),1)</f>
        <v>0</v>
      </c>
      <c r="Z60" s="268"/>
      <c r="AA60" s="854"/>
      <c r="AB60" s="869">
        <f>ROUND(SUM(C60:Y60),1)</f>
        <v>36914.400000000001</v>
      </c>
      <c r="AC60" s="264"/>
      <c r="AD60" s="523"/>
      <c r="AE60" s="1018">
        <f>ROUND(SUM(+AE30+AE42+AE50+AE58),1)</f>
        <v>32876.199999999997</v>
      </c>
      <c r="AF60" s="264"/>
      <c r="AG60" s="706"/>
      <c r="AH60" s="1018">
        <f>ROUND(+AB60-AE60,1)</f>
        <v>4038.2</v>
      </c>
      <c r="AI60" s="264"/>
      <c r="AJ60" s="368">
        <f>ROUND(SUM(+AH60/ABS(AE60)),3)</f>
        <v>0.123</v>
      </c>
    </row>
    <row r="61" spans="1:36" ht="15">
      <c r="A61" s="62"/>
      <c r="B61" s="62"/>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5"/>
      <c r="AB61" s="194"/>
      <c r="AC61" s="194"/>
      <c r="AD61" s="861"/>
      <c r="AE61" s="194"/>
      <c r="AF61" s="194"/>
      <c r="AG61" s="1538"/>
      <c r="AH61" s="194"/>
      <c r="AI61" s="62"/>
      <c r="AJ61" s="283"/>
    </row>
    <row r="62" spans="1:36" ht="15.75">
      <c r="A62" s="1216" t="s">
        <v>383</v>
      </c>
      <c r="B62" s="62"/>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5"/>
      <c r="AB62" s="194"/>
      <c r="AC62" s="194"/>
      <c r="AD62" s="861"/>
      <c r="AE62" s="194"/>
      <c r="AF62" s="194"/>
      <c r="AG62" s="1538"/>
      <c r="AH62" s="194"/>
      <c r="AI62" s="62"/>
      <c r="AJ62" s="266"/>
    </row>
    <row r="63" spans="1:36" ht="15">
      <c r="A63" s="350" t="s">
        <v>384</v>
      </c>
      <c r="B63" s="62"/>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5"/>
      <c r="AB63" s="194"/>
      <c r="AC63" s="194"/>
      <c r="AD63" s="861"/>
      <c r="AE63" s="194"/>
      <c r="AF63" s="194"/>
      <c r="AG63" s="1538"/>
      <c r="AH63" s="194"/>
      <c r="AI63" s="62"/>
      <c r="AJ63" s="266"/>
    </row>
    <row r="64" spans="1:36" ht="15">
      <c r="A64" s="350" t="s">
        <v>385</v>
      </c>
      <c r="B64" s="62"/>
      <c r="C64" s="194">
        <f>+'Exhibit F'!D60+'Exhibit G State'!D42</f>
        <v>2.2999999999999998</v>
      </c>
      <c r="D64" s="194"/>
      <c r="E64" s="194">
        <f>+'Exhibit F'!F60+'Exhibit G State'!F42</f>
        <v>1.1000000000000001</v>
      </c>
      <c r="F64" s="194"/>
      <c r="G64" s="194">
        <f>+'Exhibit F'!H60+'Exhibit G State'!H42</f>
        <v>2.2000000000000002</v>
      </c>
      <c r="H64" s="194"/>
      <c r="I64" s="194"/>
      <c r="J64" s="194"/>
      <c r="K64" s="194"/>
      <c r="L64" s="194"/>
      <c r="M64" s="194"/>
      <c r="N64" s="194"/>
      <c r="O64" s="194"/>
      <c r="P64" s="194"/>
      <c r="Q64" s="194"/>
      <c r="R64" s="194"/>
      <c r="S64" s="194"/>
      <c r="T64" s="194"/>
      <c r="U64" s="194"/>
      <c r="V64" s="194"/>
      <c r="W64" s="194"/>
      <c r="X64" s="194"/>
      <c r="Y64" s="194"/>
      <c r="Z64" s="194"/>
      <c r="AA64" s="195"/>
      <c r="AB64" s="194">
        <f>ROUND(SUM(C64:Y64),1)</f>
        <v>5.6</v>
      </c>
      <c r="AC64" s="194"/>
      <c r="AD64" s="861"/>
      <c r="AE64" s="194">
        <f>+'Exhibit F'!AF60+'Exhibit G State'!AF42</f>
        <v>4.3999999999999995</v>
      </c>
      <c r="AF64" s="194"/>
      <c r="AG64" s="1538"/>
      <c r="AH64" s="194">
        <f t="shared" ref="AH64:AH104" si="15">ROUND(SUM(AB64-AE64),1)</f>
        <v>1.2</v>
      </c>
      <c r="AI64" s="62"/>
      <c r="AJ64" s="283">
        <f>ROUND(SUM(AH64/ABS(AE64)),3)</f>
        <v>0.27300000000000002</v>
      </c>
    </row>
    <row r="65" spans="1:36" ht="15">
      <c r="A65" s="350" t="s">
        <v>386</v>
      </c>
      <c r="B65" s="62"/>
      <c r="C65" s="194">
        <f>+'Exhibit F'!D61</f>
        <v>2.8</v>
      </c>
      <c r="D65" s="194"/>
      <c r="E65" s="194">
        <f>+'Exhibit F'!F61</f>
        <v>-0.29999999999999982</v>
      </c>
      <c r="F65" s="194"/>
      <c r="G65" s="194">
        <f>+'Exhibit F'!H61</f>
        <v>10.399999999999999</v>
      </c>
      <c r="H65" s="194"/>
      <c r="I65" s="194"/>
      <c r="J65" s="194"/>
      <c r="K65" s="194"/>
      <c r="L65" s="194"/>
      <c r="M65" s="194"/>
      <c r="N65" s="194"/>
      <c r="O65" s="194"/>
      <c r="P65" s="194"/>
      <c r="Q65" s="194"/>
      <c r="R65" s="194"/>
      <c r="S65" s="194"/>
      <c r="T65" s="194"/>
      <c r="U65" s="194"/>
      <c r="V65" s="194"/>
      <c r="W65" s="194"/>
      <c r="X65" s="194"/>
      <c r="Y65" s="194"/>
      <c r="Z65" s="194"/>
      <c r="AA65" s="195"/>
      <c r="AB65" s="194">
        <f>ROUND(SUM(C65:Y65),1)</f>
        <v>12.9</v>
      </c>
      <c r="AC65" s="194"/>
      <c r="AD65" s="861"/>
      <c r="AE65" s="194">
        <f>+'Exhibit F'!AF61</f>
        <v>10.6</v>
      </c>
      <c r="AF65" s="194"/>
      <c r="AG65" s="1538"/>
      <c r="AH65" s="194">
        <f t="shared" si="15"/>
        <v>2.2999999999999998</v>
      </c>
      <c r="AI65" s="62"/>
      <c r="AJ65" s="607">
        <f>ROUND(SUM(AH65/ABS(AE65)),3)</f>
        <v>0.217</v>
      </c>
    </row>
    <row r="66" spans="1:36" ht="15">
      <c r="A66" s="350" t="s">
        <v>387</v>
      </c>
      <c r="B66" s="62"/>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5"/>
      <c r="AB66" s="194"/>
      <c r="AC66" s="194"/>
      <c r="AD66" s="861"/>
      <c r="AE66" s="194"/>
      <c r="AF66" s="194"/>
      <c r="AG66" s="1538"/>
      <c r="AH66" s="194" t="s">
        <v>103</v>
      </c>
      <c r="AI66" s="62" t="s">
        <v>103</v>
      </c>
      <c r="AJ66" s="266" t="s">
        <v>103</v>
      </c>
    </row>
    <row r="67" spans="1:36" ht="15">
      <c r="A67" s="350" t="s">
        <v>388</v>
      </c>
      <c r="B67" s="62"/>
      <c r="C67" s="194">
        <f>+'Exhibit F'!D63+'Exhibit G State'!D44</f>
        <v>121.7</v>
      </c>
      <c r="D67" s="194"/>
      <c r="E67" s="194">
        <f>+'Exhibit F'!F63+'Exhibit G State'!F44</f>
        <v>43.600000000000009</v>
      </c>
      <c r="F67" s="194"/>
      <c r="G67" s="194">
        <f>+'Exhibit F'!H63+'Exhibit G State'!H44</f>
        <v>90.8</v>
      </c>
      <c r="H67" s="194"/>
      <c r="I67" s="194"/>
      <c r="J67" s="194"/>
      <c r="K67" s="194"/>
      <c r="L67" s="194"/>
      <c r="M67" s="194"/>
      <c r="N67" s="194"/>
      <c r="O67" s="194"/>
      <c r="P67" s="194"/>
      <c r="Q67" s="194"/>
      <c r="R67" s="194"/>
      <c r="S67" s="194"/>
      <c r="T67" s="194"/>
      <c r="U67" s="194"/>
      <c r="V67" s="194"/>
      <c r="W67" s="194"/>
      <c r="X67" s="194"/>
      <c r="Y67" s="194"/>
      <c r="Z67" s="194"/>
      <c r="AA67" s="195"/>
      <c r="AB67" s="194">
        <f>ROUND(SUM(C67:Y67),1)</f>
        <v>256.10000000000002</v>
      </c>
      <c r="AC67" s="194"/>
      <c r="AD67" s="861"/>
      <c r="AE67" s="194">
        <f>+'Exhibit F'!AF63+'Exhibit G State'!AF44</f>
        <v>142.69999999999999</v>
      </c>
      <c r="AF67" s="194"/>
      <c r="AG67" s="1538"/>
      <c r="AH67" s="194">
        <f t="shared" si="15"/>
        <v>113.4</v>
      </c>
      <c r="AI67" s="62"/>
      <c r="AJ67" s="283">
        <f>ROUND(SUM(AH67/ABS(AE67)),3)</f>
        <v>0.79500000000000004</v>
      </c>
    </row>
    <row r="68" spans="1:36" ht="15">
      <c r="A68" s="350" t="s">
        <v>389</v>
      </c>
      <c r="B68" s="62"/>
      <c r="C68" s="194">
        <f>+'Exhibit F'!D64+'Exhibit G State'!D45</f>
        <v>656.1</v>
      </c>
      <c r="D68" s="194"/>
      <c r="E68" s="194">
        <f>+'Exhibit F'!F64+'Exhibit G State'!F45</f>
        <v>795.40000000000009</v>
      </c>
      <c r="F68" s="194"/>
      <c r="G68" s="194">
        <f>+'Exhibit F'!H64+'Exhibit G State'!H45</f>
        <v>886.5</v>
      </c>
      <c r="H68" s="194"/>
      <c r="I68" s="194"/>
      <c r="J68" s="194"/>
      <c r="K68" s="194"/>
      <c r="L68" s="194"/>
      <c r="M68" s="194"/>
      <c r="N68" s="194"/>
      <c r="O68" s="194"/>
      <c r="P68" s="194"/>
      <c r="Q68" s="194"/>
      <c r="R68" s="194"/>
      <c r="S68" s="194"/>
      <c r="T68" s="194"/>
      <c r="U68" s="194"/>
      <c r="V68" s="194"/>
      <c r="W68" s="194"/>
      <c r="X68" s="194"/>
      <c r="Y68" s="194"/>
      <c r="Z68" s="194"/>
      <c r="AA68" s="195"/>
      <c r="AB68" s="194">
        <f>ROUND(SUM(C68:Y68),1)</f>
        <v>2338</v>
      </c>
      <c r="AC68" s="194"/>
      <c r="AD68" s="861"/>
      <c r="AE68" s="194">
        <f>+'Exhibit F'!AF64+'Exhibit G State'!AF45+'Exhibit H'!AD34</f>
        <v>2037.4</v>
      </c>
      <c r="AF68" s="194"/>
      <c r="AG68" s="1538"/>
      <c r="AH68" s="194">
        <f t="shared" si="15"/>
        <v>300.60000000000002</v>
      </c>
      <c r="AI68" s="62"/>
      <c r="AJ68" s="283">
        <f>ROUND(SUM(AH68/ABS(AE68)),3)</f>
        <v>0.14799999999999999</v>
      </c>
    </row>
    <row r="69" spans="1:36" ht="15">
      <c r="A69" s="350" t="s">
        <v>390</v>
      </c>
      <c r="B69" s="62"/>
      <c r="C69" s="194">
        <f>+'Exhibit F'!D65+'Exhibit G State'!D46</f>
        <v>2.9</v>
      </c>
      <c r="D69" s="194"/>
      <c r="E69" s="194">
        <f>+'Exhibit F'!F65+'Exhibit G State'!F46</f>
        <v>0</v>
      </c>
      <c r="F69" s="194"/>
      <c r="G69" s="194">
        <f>+'Exhibit F'!H65+'Exhibit G State'!H46</f>
        <v>0.70000000000000018</v>
      </c>
      <c r="H69" s="194"/>
      <c r="I69" s="194"/>
      <c r="J69" s="194"/>
      <c r="K69" s="194"/>
      <c r="L69" s="194"/>
      <c r="M69" s="194"/>
      <c r="N69" s="194"/>
      <c r="O69" s="194"/>
      <c r="P69" s="194"/>
      <c r="Q69" s="194"/>
      <c r="R69" s="194"/>
      <c r="S69" s="194"/>
      <c r="T69" s="194"/>
      <c r="U69" s="194"/>
      <c r="V69" s="194"/>
      <c r="W69" s="194"/>
      <c r="X69" s="194"/>
      <c r="Y69" s="194"/>
      <c r="Z69" s="194"/>
      <c r="AA69" s="195"/>
      <c r="AB69" s="194">
        <f>ROUND(SUM(C69:Y69),1)</f>
        <v>3.6</v>
      </c>
      <c r="AC69" s="194"/>
      <c r="AD69" s="861"/>
      <c r="AE69" s="194">
        <f>+'Exhibit F'!AF65+'Exhibit G State'!AF46</f>
        <v>2.1</v>
      </c>
      <c r="AF69" s="194"/>
      <c r="AG69" s="1538"/>
      <c r="AH69" s="194">
        <f t="shared" si="15"/>
        <v>1.5</v>
      </c>
      <c r="AI69" s="62"/>
      <c r="AJ69" s="542">
        <f>ROUND(IF(AE69=0,0,AH69/ABS(AE69)),3)</f>
        <v>0.71399999999999997</v>
      </c>
    </row>
    <row r="70" spans="1:36" ht="15">
      <c r="A70" s="350" t="s">
        <v>391</v>
      </c>
      <c r="B70" s="62"/>
      <c r="C70" s="194">
        <f>+'Exhibit F'!D66+'Exhibit G State'!D47</f>
        <v>0</v>
      </c>
      <c r="D70" s="194"/>
      <c r="E70" s="194">
        <f>+'Exhibit F'!F66+'Exhibit G State'!F47</f>
        <v>1005.1</v>
      </c>
      <c r="F70" s="194"/>
      <c r="G70" s="194">
        <f>+'Exhibit F'!H66+'Exhibit G State'!H47</f>
        <v>0.10000000000002274</v>
      </c>
      <c r="H70" s="194"/>
      <c r="I70" s="194"/>
      <c r="J70" s="194"/>
      <c r="K70" s="194"/>
      <c r="L70" s="194"/>
      <c r="M70" s="194"/>
      <c r="N70" s="194"/>
      <c r="O70" s="194"/>
      <c r="P70" s="194"/>
      <c r="Q70" s="194"/>
      <c r="R70" s="194"/>
      <c r="S70" s="194"/>
      <c r="T70" s="194"/>
      <c r="U70" s="194"/>
      <c r="V70" s="194"/>
      <c r="W70" s="194"/>
      <c r="X70" s="194"/>
      <c r="Y70" s="194"/>
      <c r="Z70" s="194"/>
      <c r="AA70" s="195"/>
      <c r="AB70" s="194">
        <f>ROUND(SUM(C70:Y70),1)</f>
        <v>1005.2</v>
      </c>
      <c r="AC70" s="194"/>
      <c r="AD70" s="861"/>
      <c r="AE70" s="194">
        <f>+'Exhibit F'!AF66+'Exhibit G State'!AF47</f>
        <v>0.1</v>
      </c>
      <c r="AF70" s="194"/>
      <c r="AG70" s="1538"/>
      <c r="AH70" s="194">
        <f t="shared" si="15"/>
        <v>1005.1</v>
      </c>
      <c r="AI70" s="62"/>
      <c r="AJ70" s="542">
        <f>ROUND(IF(AE70=0,0,AH70/ABS(AE70)),3)</f>
        <v>10051</v>
      </c>
    </row>
    <row r="71" spans="1:36" ht="15">
      <c r="A71" s="350" t="s">
        <v>392</v>
      </c>
      <c r="B71" s="62"/>
      <c r="C71" s="194"/>
      <c r="D71" s="194"/>
      <c r="E71" s="194"/>
      <c r="F71" s="194"/>
      <c r="G71" s="194"/>
      <c r="H71" s="194"/>
      <c r="I71" s="194"/>
      <c r="J71" s="194"/>
      <c r="K71" s="194"/>
      <c r="L71" s="194"/>
      <c r="M71" s="194"/>
      <c r="N71" s="194"/>
      <c r="O71" s="194"/>
      <c r="P71" s="194"/>
      <c r="Q71" s="194"/>
      <c r="R71" s="194"/>
      <c r="S71" s="194"/>
      <c r="T71" s="194"/>
      <c r="U71" s="194"/>
      <c r="V71" s="194"/>
      <c r="W71" s="194"/>
      <c r="X71" s="194"/>
      <c r="Y71" s="194"/>
      <c r="Z71" s="194"/>
      <c r="AA71" s="195"/>
      <c r="AB71" s="194"/>
      <c r="AC71" s="194"/>
      <c r="AD71" s="861"/>
      <c r="AE71" s="194"/>
      <c r="AF71" s="194"/>
      <c r="AG71" s="1538"/>
      <c r="AH71" s="194"/>
      <c r="AI71" s="62"/>
      <c r="AJ71" s="266"/>
    </row>
    <row r="72" spans="1:36" ht="15">
      <c r="A72" s="350" t="s">
        <v>393</v>
      </c>
      <c r="B72" s="62"/>
      <c r="C72" s="194">
        <f>+'Exhibit F'!D68+'Exhibit H'!B36</f>
        <v>5.4</v>
      </c>
      <c r="D72" s="194"/>
      <c r="E72" s="194">
        <f>+'Exhibit F'!F68+'Exhibit H'!D36</f>
        <v>4.9000000000000004</v>
      </c>
      <c r="F72" s="194"/>
      <c r="G72" s="194">
        <f>+'Exhibit F'!H68+'Exhibit H'!F36</f>
        <v>5.8999999999999986</v>
      </c>
      <c r="H72" s="194"/>
      <c r="I72" s="194"/>
      <c r="J72" s="194"/>
      <c r="K72" s="194"/>
      <c r="L72" s="194"/>
      <c r="M72" s="194"/>
      <c r="N72" s="194"/>
      <c r="O72" s="194"/>
      <c r="P72" s="194"/>
      <c r="Q72" s="194"/>
      <c r="R72" s="194"/>
      <c r="S72" s="194"/>
      <c r="T72" s="194"/>
      <c r="U72" s="194"/>
      <c r="V72" s="194"/>
      <c r="W72" s="194"/>
      <c r="X72" s="194"/>
      <c r="Y72" s="194"/>
      <c r="Z72" s="194"/>
      <c r="AA72" s="195"/>
      <c r="AB72" s="194">
        <f t="shared" ref="AB72:AB79" si="16">ROUND(SUM(C72:Y72),1)</f>
        <v>16.2</v>
      </c>
      <c r="AC72" s="194"/>
      <c r="AD72" s="861"/>
      <c r="AE72" s="194">
        <f>+'Exhibit F'!AF68+'Exhibit H'!AD36</f>
        <v>12.6</v>
      </c>
      <c r="AF72" s="194"/>
      <c r="AG72" s="1538"/>
      <c r="AH72" s="194">
        <f t="shared" si="15"/>
        <v>3.6</v>
      </c>
      <c r="AI72" s="62"/>
      <c r="AJ72" s="283">
        <f>ROUND(SUM(AH72/ABS(AE72)),3)</f>
        <v>0.28599999999999998</v>
      </c>
    </row>
    <row r="73" spans="1:36" ht="15">
      <c r="A73" s="350" t="s">
        <v>394</v>
      </c>
      <c r="B73" s="62"/>
      <c r="C73" s="194">
        <f>'Exhibit G State'!D49</f>
        <v>0</v>
      </c>
      <c r="D73" s="194"/>
      <c r="E73" s="194">
        <f>'Exhibit G State'!F49</f>
        <v>0</v>
      </c>
      <c r="F73" s="194"/>
      <c r="G73" s="194">
        <f>'Exhibit G State'!H49</f>
        <v>0.1</v>
      </c>
      <c r="H73" s="194"/>
      <c r="I73" s="194"/>
      <c r="J73" s="194"/>
      <c r="K73" s="194"/>
      <c r="L73" s="194"/>
      <c r="M73" s="194"/>
      <c r="N73" s="194"/>
      <c r="O73" s="194"/>
      <c r="P73" s="194"/>
      <c r="Q73" s="194"/>
      <c r="R73" s="194"/>
      <c r="S73" s="194"/>
      <c r="T73" s="194"/>
      <c r="U73" s="194"/>
      <c r="V73" s="194"/>
      <c r="W73" s="194"/>
      <c r="X73" s="194"/>
      <c r="Y73" s="194"/>
      <c r="Z73" s="194"/>
      <c r="AA73" s="195"/>
      <c r="AB73" s="194">
        <f t="shared" si="16"/>
        <v>0.1</v>
      </c>
      <c r="AC73" s="194"/>
      <c r="AD73" s="861"/>
      <c r="AE73" s="194">
        <f>'Exhibit G State'!AF49</f>
        <v>2.4</v>
      </c>
      <c r="AF73" s="194"/>
      <c r="AG73" s="1538"/>
      <c r="AH73" s="194">
        <f t="shared" si="15"/>
        <v>-2.2999999999999998</v>
      </c>
      <c r="AI73" s="62"/>
      <c r="AJ73" s="266">
        <f>ROUND(IF(AE73=0,0,AH73/ABS(AE73)),3)</f>
        <v>-0.95799999999999996</v>
      </c>
    </row>
    <row r="74" spans="1:36" ht="15">
      <c r="A74" s="350" t="s">
        <v>395</v>
      </c>
      <c r="B74" s="62"/>
      <c r="C74" s="194">
        <f>+'Exhibit F'!D70+'Exhibit G State'!D50+'Exhibit H'!B37</f>
        <v>85.4</v>
      </c>
      <c r="D74" s="194"/>
      <c r="E74" s="194">
        <f>+'Exhibit F'!F70+'Exhibit G State'!F50+'Exhibit H'!D37</f>
        <v>51.199999999999996</v>
      </c>
      <c r="F74" s="194"/>
      <c r="G74" s="194">
        <f>+'Exhibit F'!H70+'Exhibit G State'!H50+'Exhibit H'!F37</f>
        <v>131.9</v>
      </c>
      <c r="H74" s="194"/>
      <c r="I74" s="194"/>
      <c r="J74" s="194"/>
      <c r="K74" s="194"/>
      <c r="L74" s="194"/>
      <c r="M74" s="194"/>
      <c r="N74" s="194"/>
      <c r="O74" s="194"/>
      <c r="P74" s="194"/>
      <c r="Q74" s="194"/>
      <c r="R74" s="194"/>
      <c r="S74" s="194"/>
      <c r="T74" s="194"/>
      <c r="U74" s="194"/>
      <c r="V74" s="194"/>
      <c r="W74" s="194"/>
      <c r="X74" s="194"/>
      <c r="Y74" s="194"/>
      <c r="Z74" s="194"/>
      <c r="AA74" s="195"/>
      <c r="AB74" s="194">
        <f t="shared" si="16"/>
        <v>268.5</v>
      </c>
      <c r="AC74" s="194"/>
      <c r="AD74" s="861"/>
      <c r="AE74" s="194">
        <f>+'Exhibit F'!AF70+'Exhibit G State'!AF50+'Exhibit H'!AD37</f>
        <v>229.7</v>
      </c>
      <c r="AF74" s="194"/>
      <c r="AG74" s="1538"/>
      <c r="AH74" s="194">
        <f t="shared" si="15"/>
        <v>38.799999999999997</v>
      </c>
      <c r="AI74" s="62"/>
      <c r="AJ74" s="283">
        <f>ROUND(SUM(AH74/AE74),3)</f>
        <v>0.16900000000000001</v>
      </c>
    </row>
    <row r="75" spans="1:36" ht="15">
      <c r="A75" s="350" t="s">
        <v>396</v>
      </c>
      <c r="B75" s="62"/>
      <c r="C75" s="194">
        <f>+'Exhibit F'!D71+'Exhibit G State'!D51+'Exhibit H'!B38</f>
        <v>33.6</v>
      </c>
      <c r="D75" s="194"/>
      <c r="E75" s="194">
        <f>+'Exhibit F'!F71+'Exhibit G State'!F51+'Exhibit H'!D38</f>
        <v>25.800000000000004</v>
      </c>
      <c r="F75" s="194"/>
      <c r="G75" s="194">
        <f>+'Exhibit F'!H71+'Exhibit G State'!H51+'Exhibit H'!F38</f>
        <v>25.299999999999997</v>
      </c>
      <c r="H75" s="194"/>
      <c r="I75" s="194"/>
      <c r="J75" s="194"/>
      <c r="K75" s="194"/>
      <c r="L75" s="194"/>
      <c r="M75" s="194"/>
      <c r="N75" s="194"/>
      <c r="O75" s="194"/>
      <c r="P75" s="194"/>
      <c r="Q75" s="194"/>
      <c r="R75" s="194"/>
      <c r="S75" s="194"/>
      <c r="T75" s="194"/>
      <c r="U75" s="194"/>
      <c r="V75" s="194"/>
      <c r="W75" s="194"/>
      <c r="X75" s="194"/>
      <c r="Y75" s="194"/>
      <c r="Z75" s="194"/>
      <c r="AA75" s="195"/>
      <c r="AB75" s="194">
        <f t="shared" si="16"/>
        <v>84.7</v>
      </c>
      <c r="AC75" s="194"/>
      <c r="AD75" s="861"/>
      <c r="AE75" s="194">
        <f>+'Exhibit F'!AF71+'Exhibit G State'!AF51+'Exhibit H'!AD38</f>
        <v>62.8</v>
      </c>
      <c r="AF75" s="194"/>
      <c r="AG75" s="1538"/>
      <c r="AH75" s="194">
        <f t="shared" si="15"/>
        <v>21.9</v>
      </c>
      <c r="AI75" s="62"/>
      <c r="AJ75" s="283">
        <f>ROUND(SUM(AH75/ABS(AE75)),3)</f>
        <v>0.34899999999999998</v>
      </c>
    </row>
    <row r="76" spans="1:36" ht="15">
      <c r="A76" s="350" t="s">
        <v>397</v>
      </c>
      <c r="B76" s="62"/>
      <c r="C76" s="194">
        <f>+'Exhibit F'!D72+'Exhibit G State'!D52+'Exhibit H'!B39</f>
        <v>0.1</v>
      </c>
      <c r="D76" s="194"/>
      <c r="E76" s="194">
        <f>+'Exhibit F'!F72+'Exhibit G State'!F52+'Exhibit H'!D39</f>
        <v>0.79999999999999993</v>
      </c>
      <c r="F76" s="194"/>
      <c r="G76" s="194">
        <f>+'Exhibit F'!H72+'Exhibit G State'!H52+'Exhibit H'!F39</f>
        <v>9.9999999999999978E-2</v>
      </c>
      <c r="H76" s="194"/>
      <c r="I76" s="194"/>
      <c r="J76" s="194"/>
      <c r="K76" s="194"/>
      <c r="L76" s="194"/>
      <c r="M76" s="194"/>
      <c r="N76" s="194"/>
      <c r="O76" s="194"/>
      <c r="P76" s="194"/>
      <c r="Q76" s="194"/>
      <c r="R76" s="194"/>
      <c r="S76" s="194"/>
      <c r="T76" s="194"/>
      <c r="U76" s="194"/>
      <c r="V76" s="194"/>
      <c r="W76" s="194"/>
      <c r="X76" s="194"/>
      <c r="Y76" s="194"/>
      <c r="Z76" s="194"/>
      <c r="AA76" s="195"/>
      <c r="AB76" s="194">
        <f t="shared" si="16"/>
        <v>1</v>
      </c>
      <c r="AC76" s="194"/>
      <c r="AD76" s="861"/>
      <c r="AE76" s="194">
        <f>+'Exhibit F'!AF72+'Exhibit G State'!AF52+'Exhibit H'!AD39</f>
        <v>1.2</v>
      </c>
      <c r="AF76" s="194"/>
      <c r="AG76" s="1538"/>
      <c r="AH76" s="194">
        <f t="shared" si="15"/>
        <v>-0.2</v>
      </c>
      <c r="AI76" s="62"/>
      <c r="AJ76" s="283">
        <f>ROUND(SUM(AH76/ABS(AE76)),3)</f>
        <v>-0.16700000000000001</v>
      </c>
    </row>
    <row r="77" spans="1:36" ht="15">
      <c r="A77" s="350" t="s">
        <v>398</v>
      </c>
      <c r="B77" s="62"/>
      <c r="C77" s="194">
        <f>+'Exhibit F'!D73+'Exhibit G State'!D53+'Exhibit H'!B40</f>
        <v>200.79999999999998</v>
      </c>
      <c r="D77" s="194"/>
      <c r="E77" s="194">
        <f>+'Exhibit F'!F73+'Exhibit G State'!F53+'Exhibit H'!D40</f>
        <v>55.4</v>
      </c>
      <c r="F77" s="194"/>
      <c r="G77" s="194">
        <f>+'Exhibit F'!H73+'Exhibit G State'!H53+'Exhibit H'!F40</f>
        <v>54.6</v>
      </c>
      <c r="H77" s="194"/>
      <c r="I77" s="194"/>
      <c r="J77" s="194"/>
      <c r="K77" s="194"/>
      <c r="L77" s="194"/>
      <c r="M77" s="194"/>
      <c r="N77" s="194"/>
      <c r="O77" s="194"/>
      <c r="P77" s="194"/>
      <c r="Q77" s="194"/>
      <c r="R77" s="194"/>
      <c r="S77" s="194"/>
      <c r="T77" s="194"/>
      <c r="U77" s="194"/>
      <c r="V77" s="194"/>
      <c r="W77" s="194"/>
      <c r="X77" s="194"/>
      <c r="Y77" s="194"/>
      <c r="Z77" s="194"/>
      <c r="AA77" s="195"/>
      <c r="AB77" s="194">
        <f t="shared" si="16"/>
        <v>310.8</v>
      </c>
      <c r="AC77" s="194"/>
      <c r="AD77" s="861"/>
      <c r="AE77" s="194">
        <f>+'Exhibit F'!AF73+'Exhibit G State'!AF53+'Exhibit H'!AD40</f>
        <v>180.2</v>
      </c>
      <c r="AF77" s="194"/>
      <c r="AG77" s="1538"/>
      <c r="AH77" s="194">
        <f t="shared" si="15"/>
        <v>130.6</v>
      </c>
      <c r="AI77" s="62"/>
      <c r="AJ77" s="266">
        <f>ROUND(IF(AE77=0,0,AH77/ABS(AE77)),3)</f>
        <v>0.72499999999999998</v>
      </c>
    </row>
    <row r="78" spans="1:36" ht="15">
      <c r="A78" s="350" t="s">
        <v>399</v>
      </c>
      <c r="B78" s="62"/>
      <c r="C78" s="194">
        <f>+'Exhibit F'!D74+'Exhibit G State'!D54+'Exhibit H'!B41</f>
        <v>93.6</v>
      </c>
      <c r="D78" s="194"/>
      <c r="E78" s="194">
        <f>+'Exhibit F'!F74+'Exhibit G State'!F54+'Exhibit H'!D41</f>
        <v>81.199999999999989</v>
      </c>
      <c r="F78" s="194"/>
      <c r="G78" s="194">
        <f>+'Exhibit F'!H74+'Exhibit G State'!H54+'Exhibit H'!F41</f>
        <v>67.699999999999989</v>
      </c>
      <c r="H78" s="194"/>
      <c r="I78" s="194"/>
      <c r="J78" s="194"/>
      <c r="K78" s="194"/>
      <c r="L78" s="194"/>
      <c r="M78" s="194"/>
      <c r="N78" s="194"/>
      <c r="O78" s="194"/>
      <c r="P78" s="194"/>
      <c r="Q78" s="194"/>
      <c r="R78" s="194"/>
      <c r="S78" s="194"/>
      <c r="T78" s="194"/>
      <c r="U78" s="194"/>
      <c r="V78" s="194"/>
      <c r="W78" s="194"/>
      <c r="X78" s="194"/>
      <c r="Y78" s="194"/>
      <c r="Z78" s="194"/>
      <c r="AA78" s="195"/>
      <c r="AB78" s="194">
        <f t="shared" si="16"/>
        <v>242.5</v>
      </c>
      <c r="AC78" s="194"/>
      <c r="AD78" s="861"/>
      <c r="AE78" s="194">
        <f>+'Exhibit F'!AF74+'Exhibit G State'!AF54+'Exhibit H'!AD41</f>
        <v>202.7</v>
      </c>
      <c r="AF78" s="194"/>
      <c r="AG78" s="1538"/>
      <c r="AH78" s="194">
        <f t="shared" si="15"/>
        <v>39.799999999999997</v>
      </c>
      <c r="AI78" s="62"/>
      <c r="AJ78" s="283">
        <f>ROUND(SUM(AH78/ABS(AE78)),3)</f>
        <v>0.19600000000000001</v>
      </c>
    </row>
    <row r="79" spans="1:36" ht="15">
      <c r="A79" s="350" t="s">
        <v>400</v>
      </c>
      <c r="B79" s="62"/>
      <c r="C79" s="194">
        <f>+'Exhibit F'!D75+'Exhibit G State'!D55</f>
        <v>67.2</v>
      </c>
      <c r="D79" s="194"/>
      <c r="E79" s="194">
        <f>+'Exhibit F'!F75+'Exhibit G State'!F55</f>
        <v>26.3</v>
      </c>
      <c r="F79" s="194"/>
      <c r="G79" s="194">
        <f>+'Exhibit F'!H75+'Exhibit G State'!H55</f>
        <v>8.8999999999999986</v>
      </c>
      <c r="H79" s="194"/>
      <c r="I79" s="194"/>
      <c r="J79" s="194"/>
      <c r="K79" s="194"/>
      <c r="L79" s="194"/>
      <c r="M79" s="194"/>
      <c r="N79" s="194"/>
      <c r="O79" s="194"/>
      <c r="P79" s="194"/>
      <c r="Q79" s="194"/>
      <c r="R79" s="194"/>
      <c r="S79" s="194"/>
      <c r="T79" s="194"/>
      <c r="U79" s="194"/>
      <c r="V79" s="194"/>
      <c r="W79" s="194"/>
      <c r="X79" s="194"/>
      <c r="Y79" s="194"/>
      <c r="Z79" s="194"/>
      <c r="AA79" s="195"/>
      <c r="AB79" s="194">
        <f t="shared" si="16"/>
        <v>102.4</v>
      </c>
      <c r="AC79" s="194"/>
      <c r="AD79" s="861"/>
      <c r="AE79" s="194">
        <f>+'Exhibit F'!AF75+'Exhibit G State'!AF55</f>
        <v>155.60000000000002</v>
      </c>
      <c r="AF79" s="194"/>
      <c r="AG79" s="1538"/>
      <c r="AH79" s="194">
        <f t="shared" si="15"/>
        <v>-53.2</v>
      </c>
      <c r="AI79" s="62"/>
      <c r="AJ79" s="283">
        <f>ROUND(SUM(AH79/ABS(AE79)),3)</f>
        <v>-0.34200000000000003</v>
      </c>
    </row>
    <row r="80" spans="1:36" ht="15">
      <c r="A80" s="350" t="s">
        <v>401</v>
      </c>
      <c r="B80" s="62"/>
      <c r="C80" s="194"/>
      <c r="D80" s="194"/>
      <c r="E80" s="194"/>
      <c r="F80" s="194"/>
      <c r="G80" s="194"/>
      <c r="H80" s="194"/>
      <c r="I80" s="194"/>
      <c r="J80" s="194"/>
      <c r="K80" s="194"/>
      <c r="L80" s="194"/>
      <c r="M80" s="194"/>
      <c r="N80" s="194"/>
      <c r="O80" s="194"/>
      <c r="P80" s="194"/>
      <c r="Q80" s="194"/>
      <c r="R80" s="194"/>
      <c r="S80" s="194"/>
      <c r="T80" s="194"/>
      <c r="U80" s="194"/>
      <c r="V80" s="194"/>
      <c r="W80" s="194"/>
      <c r="X80" s="194"/>
      <c r="Y80" s="194"/>
      <c r="Z80" s="194"/>
      <c r="AA80" s="195"/>
      <c r="AB80" s="194"/>
      <c r="AC80" s="194"/>
      <c r="AD80" s="861"/>
      <c r="AE80" s="194"/>
      <c r="AF80" s="194"/>
      <c r="AG80" s="1538"/>
      <c r="AH80" s="194"/>
      <c r="AI80" s="62"/>
      <c r="AJ80" s="283" t="s">
        <v>103</v>
      </c>
    </row>
    <row r="81" spans="1:36" ht="15">
      <c r="A81" s="350" t="s">
        <v>402</v>
      </c>
      <c r="B81" s="62"/>
      <c r="C81" s="194">
        <f>+'Exhibit G State'!D57</f>
        <v>57.6</v>
      </c>
      <c r="D81" s="194"/>
      <c r="E81" s="194">
        <f>+'Exhibit G State'!F57</f>
        <v>56.999999999999993</v>
      </c>
      <c r="F81" s="194"/>
      <c r="G81" s="194">
        <f>+'Exhibit G State'!H57</f>
        <v>25.999999999999993</v>
      </c>
      <c r="H81" s="194"/>
      <c r="I81" s="194"/>
      <c r="J81" s="194"/>
      <c r="K81" s="194"/>
      <c r="L81" s="194"/>
      <c r="M81" s="194"/>
      <c r="N81" s="194"/>
      <c r="O81" s="194"/>
      <c r="P81" s="194"/>
      <c r="Q81" s="194"/>
      <c r="R81" s="194"/>
      <c r="S81" s="194"/>
      <c r="T81" s="194"/>
      <c r="U81" s="194"/>
      <c r="V81" s="194"/>
      <c r="W81" s="194"/>
      <c r="X81" s="194"/>
      <c r="Y81" s="194"/>
      <c r="Z81" s="194"/>
      <c r="AA81" s="195"/>
      <c r="AB81" s="194">
        <f t="shared" ref="AB81:AB86" si="17">ROUND(SUM(C81:Y81),1)</f>
        <v>140.6</v>
      </c>
      <c r="AC81" s="194"/>
      <c r="AD81" s="861"/>
      <c r="AE81" s="264">
        <f>+'Exhibit G State'!AF57</f>
        <v>75.7</v>
      </c>
      <c r="AF81" s="194"/>
      <c r="AG81" s="1538"/>
      <c r="AH81" s="194">
        <f t="shared" si="15"/>
        <v>64.900000000000006</v>
      </c>
      <c r="AI81" s="62"/>
      <c r="AJ81" s="266">
        <f>ROUND(IF(AE81=0,1,AH81/ABS(AE81)),3)</f>
        <v>0.85699999999999998</v>
      </c>
    </row>
    <row r="82" spans="1:36" ht="15">
      <c r="A82" s="350" t="s">
        <v>403</v>
      </c>
      <c r="B82" s="62"/>
      <c r="C82" s="194">
        <f>+'Exhibit G State'!D58</f>
        <v>218.6</v>
      </c>
      <c r="D82" s="194"/>
      <c r="E82" s="194">
        <f>+'Exhibit G State'!F58</f>
        <v>177.9</v>
      </c>
      <c r="F82" s="194"/>
      <c r="G82" s="194">
        <f>+'Exhibit G State'!H58</f>
        <v>175.79999999999998</v>
      </c>
      <c r="H82" s="194"/>
      <c r="I82" s="194"/>
      <c r="J82" s="194"/>
      <c r="K82" s="194"/>
      <c r="L82" s="194"/>
      <c r="M82" s="194"/>
      <c r="N82" s="194"/>
      <c r="O82" s="194"/>
      <c r="P82" s="194"/>
      <c r="Q82" s="194"/>
      <c r="R82" s="194"/>
      <c r="S82" s="194"/>
      <c r="T82" s="194"/>
      <c r="U82" s="194"/>
      <c r="V82" s="194"/>
      <c r="W82" s="194"/>
      <c r="X82" s="194"/>
      <c r="Y82" s="194"/>
      <c r="Z82" s="194"/>
      <c r="AA82" s="195"/>
      <c r="AB82" s="194">
        <f t="shared" si="17"/>
        <v>572.29999999999995</v>
      </c>
      <c r="AC82" s="194"/>
      <c r="AD82" s="861"/>
      <c r="AE82" s="194">
        <f>+'Exhibit G State'!AF58</f>
        <v>575</v>
      </c>
      <c r="AF82" s="194"/>
      <c r="AG82" s="1538"/>
      <c r="AH82" s="194">
        <f t="shared" ref="AH82:AH83" si="18">ROUND(SUM(AB82-AE82),1)</f>
        <v>-2.7</v>
      </c>
      <c r="AI82" s="62"/>
      <c r="AJ82" s="266">
        <f t="shared" ref="AJ82:AJ83" si="19">ROUND(IF(AE82=0,1,AH82/ABS(AE82)),3)</f>
        <v>-5.0000000000000001E-3</v>
      </c>
    </row>
    <row r="83" spans="1:36" ht="15">
      <c r="A83" s="350" t="s">
        <v>404</v>
      </c>
      <c r="B83" s="62"/>
      <c r="C83" s="194">
        <f>+'Exhibit G State'!D59+'Exhibit F'!D77</f>
        <v>122.4</v>
      </c>
      <c r="D83" s="194"/>
      <c r="E83" s="194">
        <f>+'Exhibit G State'!F59+'Exhibit F'!F77</f>
        <v>109.79999999999998</v>
      </c>
      <c r="F83" s="194"/>
      <c r="G83" s="194">
        <f>+'Exhibit G State'!H59+'Exhibit F'!H77</f>
        <v>39</v>
      </c>
      <c r="H83" s="194"/>
      <c r="I83" s="194"/>
      <c r="J83" s="194"/>
      <c r="K83" s="194"/>
      <c r="L83" s="194"/>
      <c r="M83" s="194"/>
      <c r="N83" s="194"/>
      <c r="O83" s="194"/>
      <c r="P83" s="194"/>
      <c r="Q83" s="194"/>
      <c r="R83" s="194"/>
      <c r="S83" s="194"/>
      <c r="T83" s="194"/>
      <c r="U83" s="194"/>
      <c r="V83" s="194"/>
      <c r="W83" s="194"/>
      <c r="X83" s="194"/>
      <c r="Y83" s="194"/>
      <c r="Z83" s="194"/>
      <c r="AA83" s="195"/>
      <c r="AB83" s="194">
        <f t="shared" si="17"/>
        <v>271.2</v>
      </c>
      <c r="AC83" s="194"/>
      <c r="AD83" s="861"/>
      <c r="AE83" s="194">
        <f>+'Exhibit G State'!AF59+'Exhibit F'!AF77</f>
        <v>309.8</v>
      </c>
      <c r="AF83" s="194"/>
      <c r="AG83" s="1538"/>
      <c r="AH83" s="194">
        <f t="shared" si="18"/>
        <v>-38.6</v>
      </c>
      <c r="AI83" s="62"/>
      <c r="AJ83" s="266">
        <f t="shared" si="19"/>
        <v>-0.125</v>
      </c>
    </row>
    <row r="84" spans="1:36" ht="15">
      <c r="A84" s="350" t="s">
        <v>405</v>
      </c>
      <c r="B84" s="62"/>
      <c r="C84" s="194">
        <f>+'Exhibit G State'!D60</f>
        <v>103</v>
      </c>
      <c r="D84" s="194"/>
      <c r="E84" s="194">
        <f>+'Exhibit G State'!F60</f>
        <v>47.400000000000006</v>
      </c>
      <c r="F84" s="194"/>
      <c r="G84" s="194">
        <f>+'Exhibit G State'!H60</f>
        <v>48.299999999999983</v>
      </c>
      <c r="H84" s="194"/>
      <c r="I84" s="194"/>
      <c r="J84" s="194"/>
      <c r="K84" s="194"/>
      <c r="L84" s="194"/>
      <c r="M84" s="194"/>
      <c r="N84" s="194"/>
      <c r="O84" s="194"/>
      <c r="P84" s="194"/>
      <c r="Q84" s="194"/>
      <c r="R84" s="194"/>
      <c r="S84" s="194"/>
      <c r="T84" s="194"/>
      <c r="U84" s="194"/>
      <c r="V84" s="194"/>
      <c r="W84" s="194"/>
      <c r="X84" s="194"/>
      <c r="Y84" s="194"/>
      <c r="Z84" s="194"/>
      <c r="AA84" s="195"/>
      <c r="AB84" s="194">
        <f t="shared" si="17"/>
        <v>198.7</v>
      </c>
      <c r="AC84" s="194"/>
      <c r="AD84" s="861"/>
      <c r="AE84" s="264">
        <f>+'Exhibit G State'!AF60</f>
        <v>256.89999999999998</v>
      </c>
      <c r="AF84" s="194"/>
      <c r="AG84" s="1538"/>
      <c r="AH84" s="194">
        <f t="shared" si="15"/>
        <v>-58.2</v>
      </c>
      <c r="AI84" s="62"/>
      <c r="AJ84" s="542">
        <f>ROUND(IF(AE84=0,1,AH84/ABS(AE84)),3)</f>
        <v>-0.22700000000000001</v>
      </c>
    </row>
    <row r="85" spans="1:36" ht="15">
      <c r="A85" s="350" t="s">
        <v>406</v>
      </c>
      <c r="B85" s="62"/>
      <c r="C85" s="194">
        <f>+'Exhibit F'!D78+'Exhibit H'!B42+'Exhibit G State'!D61</f>
        <v>247.6</v>
      </c>
      <c r="D85" s="194"/>
      <c r="E85" s="194">
        <f>+'Exhibit F'!F78+'Exhibit H'!D42+'Exhibit G State'!F61</f>
        <v>232.80000000000004</v>
      </c>
      <c r="F85" s="194"/>
      <c r="G85" s="194">
        <f>+'Exhibit F'!H78+'Exhibit H'!F42+'Exhibit G State'!H61</f>
        <v>251.89999999999995</v>
      </c>
      <c r="H85" s="194"/>
      <c r="I85" s="194"/>
      <c r="J85" s="194"/>
      <c r="K85" s="194"/>
      <c r="L85" s="194"/>
      <c r="M85" s="194"/>
      <c r="N85" s="194"/>
      <c r="O85" s="194"/>
      <c r="P85" s="194"/>
      <c r="Q85" s="194"/>
      <c r="R85" s="194"/>
      <c r="S85" s="194"/>
      <c r="T85" s="194"/>
      <c r="U85" s="194"/>
      <c r="V85" s="194"/>
      <c r="W85" s="194"/>
      <c r="X85" s="194"/>
      <c r="Y85" s="194"/>
      <c r="Z85" s="194"/>
      <c r="AA85" s="195"/>
      <c r="AB85" s="194">
        <f t="shared" si="17"/>
        <v>732.3</v>
      </c>
      <c r="AC85" s="194"/>
      <c r="AD85" s="861"/>
      <c r="AE85" s="264">
        <f>+'Exhibit F'!AF78+'Exhibit H'!AD42+'Exhibit G State'!AF61</f>
        <v>842.6</v>
      </c>
      <c r="AF85" s="194"/>
      <c r="AG85" s="1538"/>
      <c r="AH85" s="194">
        <f t="shared" si="15"/>
        <v>-110.3</v>
      </c>
      <c r="AI85" s="62"/>
      <c r="AJ85" s="607">
        <f>ROUND(SUM(AH85/ABS(AE85)),3)</f>
        <v>-0.13100000000000001</v>
      </c>
    </row>
    <row r="86" spans="1:36" ht="15">
      <c r="A86" s="350" t="s">
        <v>407</v>
      </c>
      <c r="B86" s="62"/>
      <c r="C86" s="194">
        <f>+'Exhibit F'!D79+'Exhibit H'!B43+'Exhibit G State'!D62</f>
        <v>7.3</v>
      </c>
      <c r="D86" s="194"/>
      <c r="E86" s="194">
        <f>+'Exhibit F'!F79+'Exhibit H'!D43+'Exhibit G State'!F62</f>
        <v>0.60000000000000053</v>
      </c>
      <c r="F86" s="194"/>
      <c r="G86" s="194">
        <f>+'Exhibit F'!H79+'Exhibit H'!F43+'Exhibit G State'!H62</f>
        <v>8</v>
      </c>
      <c r="H86" s="194"/>
      <c r="I86" s="194"/>
      <c r="J86" s="194"/>
      <c r="K86" s="194"/>
      <c r="L86" s="194"/>
      <c r="M86" s="194"/>
      <c r="N86" s="194"/>
      <c r="O86" s="194"/>
      <c r="P86" s="194"/>
      <c r="Q86" s="194"/>
      <c r="R86" s="194"/>
      <c r="S86" s="194"/>
      <c r="T86" s="194"/>
      <c r="U86" s="194"/>
      <c r="V86" s="194"/>
      <c r="W86" s="194"/>
      <c r="X86" s="194"/>
      <c r="Y86" s="194"/>
      <c r="Z86" s="194"/>
      <c r="AA86" s="195"/>
      <c r="AB86" s="194">
        <f t="shared" si="17"/>
        <v>15.9</v>
      </c>
      <c r="AC86" s="194"/>
      <c r="AD86" s="861"/>
      <c r="AE86" s="194">
        <f>+'Exhibit F'!AF79+'Exhibit H'!AD43+'Exhibit G State'!AF62</f>
        <v>13.4</v>
      </c>
      <c r="AF86" s="194"/>
      <c r="AG86" s="1538"/>
      <c r="AH86" s="194">
        <f>ROUND(SUM(AB86-AE86),1)</f>
        <v>2.5</v>
      </c>
      <c r="AI86" s="62"/>
      <c r="AJ86" s="607">
        <f>ROUND(SUM(AH86/ABS(AE86)),3)</f>
        <v>0.187</v>
      </c>
    </row>
    <row r="87" spans="1:36" ht="15">
      <c r="A87" s="350" t="s">
        <v>408</v>
      </c>
      <c r="B87" s="62"/>
      <c r="C87" s="194"/>
      <c r="D87" s="194"/>
      <c r="E87" s="194"/>
      <c r="F87" s="194"/>
      <c r="G87" s="194"/>
      <c r="H87" s="194"/>
      <c r="I87" s="194"/>
      <c r="J87" s="194"/>
      <c r="K87" s="194"/>
      <c r="L87" s="194"/>
      <c r="M87" s="194"/>
      <c r="N87" s="194"/>
      <c r="O87" s="194"/>
      <c r="P87" s="194"/>
      <c r="Q87" s="194"/>
      <c r="R87" s="194"/>
      <c r="S87" s="194"/>
      <c r="T87" s="194"/>
      <c r="U87" s="194"/>
      <c r="V87" s="194"/>
      <c r="W87" s="194"/>
      <c r="X87" s="194"/>
      <c r="Y87" s="194"/>
      <c r="Z87" s="194"/>
      <c r="AA87" s="195"/>
      <c r="AB87" s="194"/>
      <c r="AC87" s="194"/>
      <c r="AD87" s="861"/>
      <c r="AE87" s="194"/>
      <c r="AF87" s="194"/>
      <c r="AG87" s="1538"/>
      <c r="AH87" s="194"/>
      <c r="AI87" s="62"/>
      <c r="AJ87" s="266"/>
    </row>
    <row r="88" spans="1:36" ht="15">
      <c r="A88" s="350" t="s">
        <v>409</v>
      </c>
      <c r="B88" s="62"/>
      <c r="C88" s="194">
        <f>+'Exhibit G State'!D64</f>
        <v>0</v>
      </c>
      <c r="D88" s="194"/>
      <c r="E88" s="194">
        <f>+'Exhibit G State'!F64</f>
        <v>0</v>
      </c>
      <c r="F88" s="194"/>
      <c r="G88" s="194">
        <f>+'Exhibit G State'!H64</f>
        <v>0</v>
      </c>
      <c r="H88" s="194"/>
      <c r="I88" s="194"/>
      <c r="J88" s="194"/>
      <c r="K88" s="194"/>
      <c r="L88" s="194"/>
      <c r="M88" s="194"/>
      <c r="N88" s="194"/>
      <c r="O88" s="194"/>
      <c r="P88" s="194"/>
      <c r="Q88" s="194"/>
      <c r="R88" s="194"/>
      <c r="S88" s="194"/>
      <c r="T88" s="194"/>
      <c r="U88" s="194"/>
      <c r="V88" s="194"/>
      <c r="W88" s="194"/>
      <c r="X88" s="194"/>
      <c r="Y88" s="194"/>
      <c r="Z88" s="194"/>
      <c r="AA88" s="195"/>
      <c r="AB88" s="194">
        <f t="shared" ref="AB88:AB92" si="20">ROUND(SUM(C88:Y88),1)</f>
        <v>0</v>
      </c>
      <c r="AC88" s="194"/>
      <c r="AD88" s="861"/>
      <c r="AE88" s="194">
        <f>+'Exhibit G State'!AF64+'Exhibit H'!AD45+'Exhibit F'!AF81</f>
        <v>0</v>
      </c>
      <c r="AF88" s="194"/>
      <c r="AG88" s="1538"/>
      <c r="AH88" s="194">
        <f t="shared" si="15"/>
        <v>0</v>
      </c>
      <c r="AI88" s="62"/>
      <c r="AJ88" s="266">
        <f>ROUND(IF(AE88=0,0,AH88/ABS(AE88)),3)</f>
        <v>0</v>
      </c>
    </row>
    <row r="89" spans="1:36" ht="15">
      <c r="A89" s="350" t="s">
        <v>410</v>
      </c>
      <c r="B89" s="62"/>
      <c r="C89" s="194">
        <f>+'Exhibit F'!D82+'Exhibit G State'!D65</f>
        <v>0.4</v>
      </c>
      <c r="D89" s="194"/>
      <c r="E89" s="194">
        <f>+'Exhibit F'!F82+'Exhibit G State'!F65</f>
        <v>0</v>
      </c>
      <c r="F89" s="194"/>
      <c r="G89" s="194">
        <f>+'Exhibit F'!H82+'Exhibit G State'!H65</f>
        <v>0</v>
      </c>
      <c r="H89" s="194"/>
      <c r="I89" s="194"/>
      <c r="J89" s="194"/>
      <c r="K89" s="194"/>
      <c r="L89" s="194"/>
      <c r="M89" s="194"/>
      <c r="N89" s="194"/>
      <c r="O89" s="194"/>
      <c r="P89" s="194"/>
      <c r="Q89" s="194"/>
      <c r="R89" s="194"/>
      <c r="S89" s="194"/>
      <c r="T89" s="194"/>
      <c r="U89" s="194"/>
      <c r="V89" s="194"/>
      <c r="W89" s="194"/>
      <c r="X89" s="194"/>
      <c r="Y89" s="194"/>
      <c r="Z89" s="194"/>
      <c r="AA89" s="195"/>
      <c r="AB89" s="194">
        <f t="shared" si="20"/>
        <v>0.4</v>
      </c>
      <c r="AC89" s="194"/>
      <c r="AD89" s="861"/>
      <c r="AE89" s="194">
        <f>+'Exhibit F'!AF82+'Exhibit G State'!AF65</f>
        <v>13.1</v>
      </c>
      <c r="AF89" s="194"/>
      <c r="AG89" s="1538"/>
      <c r="AH89" s="194">
        <f t="shared" si="15"/>
        <v>-12.7</v>
      </c>
      <c r="AI89" s="62"/>
      <c r="AJ89" s="607">
        <f>ROUND(IF(AE89=0,1,AH89/ABS(AE89)),3)</f>
        <v>-0.96899999999999997</v>
      </c>
    </row>
    <row r="90" spans="1:36" ht="15">
      <c r="A90" s="350" t="s">
        <v>411</v>
      </c>
      <c r="B90" s="62"/>
      <c r="C90" s="194">
        <f>+'Exhibit F'!D83+'Exhibit G State'!D66</f>
        <v>0.8</v>
      </c>
      <c r="D90" s="194"/>
      <c r="E90" s="194">
        <f>+'Exhibit F'!F83+'Exhibit G State'!F66</f>
        <v>0.39999999999999991</v>
      </c>
      <c r="F90" s="194"/>
      <c r="G90" s="194">
        <f>+'Exhibit F'!H83+'Exhibit G State'!H66</f>
        <v>0.30000000000000004</v>
      </c>
      <c r="H90" s="194"/>
      <c r="I90" s="194"/>
      <c r="J90" s="194"/>
      <c r="K90" s="194"/>
      <c r="L90" s="194"/>
      <c r="M90" s="194"/>
      <c r="N90" s="194"/>
      <c r="O90" s="194"/>
      <c r="P90" s="194"/>
      <c r="Q90" s="194"/>
      <c r="R90" s="194"/>
      <c r="S90" s="194"/>
      <c r="T90" s="194"/>
      <c r="U90" s="194"/>
      <c r="V90" s="194"/>
      <c r="W90" s="194"/>
      <c r="X90" s="194"/>
      <c r="Y90" s="194"/>
      <c r="Z90" s="194"/>
      <c r="AA90" s="195"/>
      <c r="AB90" s="194">
        <f t="shared" si="20"/>
        <v>1.5</v>
      </c>
      <c r="AC90" s="194"/>
      <c r="AD90" s="861"/>
      <c r="AE90" s="194">
        <f>+'Exhibit F'!AF83+'Exhibit G State'!AF66</f>
        <v>2.4</v>
      </c>
      <c r="AF90" s="194"/>
      <c r="AG90" s="1538"/>
      <c r="AH90" s="194">
        <f t="shared" si="15"/>
        <v>-0.9</v>
      </c>
      <c r="AI90" s="62"/>
      <c r="AJ90" s="607">
        <f>ROUND(SUM(AH90/ABS(AE90)),3)</f>
        <v>-0.375</v>
      </c>
    </row>
    <row r="91" spans="1:36" ht="15">
      <c r="A91" s="350" t="s">
        <v>412</v>
      </c>
      <c r="B91" s="62"/>
      <c r="C91" s="194">
        <f>+'Exhibit F'!D84+'Exhibit G State'!D67</f>
        <v>4.7</v>
      </c>
      <c r="D91" s="194"/>
      <c r="E91" s="194">
        <f>+'Exhibit F'!F84+'Exhibit G State'!F67</f>
        <v>4.4999999999999991</v>
      </c>
      <c r="F91" s="194"/>
      <c r="G91" s="194">
        <f>+'Exhibit F'!H84+'Exhibit G State'!H67</f>
        <v>11.799999999999999</v>
      </c>
      <c r="H91" s="194"/>
      <c r="I91" s="194"/>
      <c r="J91" s="194"/>
      <c r="K91" s="194"/>
      <c r="L91" s="194"/>
      <c r="M91" s="194"/>
      <c r="N91" s="194"/>
      <c r="O91" s="194"/>
      <c r="P91" s="194"/>
      <c r="Q91" s="194"/>
      <c r="R91" s="194"/>
      <c r="S91" s="194"/>
      <c r="T91" s="194"/>
      <c r="U91" s="194"/>
      <c r="V91" s="194"/>
      <c r="W91" s="194"/>
      <c r="X91" s="194"/>
      <c r="Y91" s="194"/>
      <c r="Z91" s="194"/>
      <c r="AA91" s="195"/>
      <c r="AB91" s="194">
        <f t="shared" si="20"/>
        <v>21</v>
      </c>
      <c r="AC91" s="194"/>
      <c r="AD91" s="861"/>
      <c r="AE91" s="194">
        <f>+'Exhibit F'!AF84+'Exhibit G State'!AF67</f>
        <v>20.2</v>
      </c>
      <c r="AF91" s="194"/>
      <c r="AG91" s="1538"/>
      <c r="AH91" s="194">
        <f t="shared" si="15"/>
        <v>0.8</v>
      </c>
      <c r="AI91" s="62"/>
      <c r="AJ91" s="607">
        <f>ROUND(SUM(AH91/ABS(AE91)),3)</f>
        <v>0.04</v>
      </c>
    </row>
    <row r="92" spans="1:36" ht="15">
      <c r="A92" s="350" t="s">
        <v>413</v>
      </c>
      <c r="B92" s="62"/>
      <c r="C92" s="194">
        <f>+'Exhibit F'!D85+'Exhibit H'!B46+'Exhibit G State'!D68</f>
        <v>59.800000000000004</v>
      </c>
      <c r="D92" s="194"/>
      <c r="E92" s="194">
        <f>+'Exhibit F'!F85+'Exhibit H'!D46+'Exhibit G State'!F68</f>
        <v>24.599999999999998</v>
      </c>
      <c r="F92" s="194"/>
      <c r="G92" s="194">
        <f>+'Exhibit F'!H85+'Exhibit H'!F46+'Exhibit G State'!H68</f>
        <v>0.5</v>
      </c>
      <c r="H92" s="194"/>
      <c r="I92" s="194"/>
      <c r="J92" s="194"/>
      <c r="K92" s="194"/>
      <c r="L92" s="194"/>
      <c r="M92" s="194"/>
      <c r="N92" s="194"/>
      <c r="O92" s="194"/>
      <c r="P92" s="194"/>
      <c r="Q92" s="194"/>
      <c r="R92" s="194"/>
      <c r="S92" s="194"/>
      <c r="T92" s="194"/>
      <c r="U92" s="194"/>
      <c r="V92" s="194"/>
      <c r="W92" s="194"/>
      <c r="X92" s="194"/>
      <c r="Y92" s="194"/>
      <c r="Z92" s="194"/>
      <c r="AA92" s="195"/>
      <c r="AB92" s="194">
        <f t="shared" si="20"/>
        <v>84.9</v>
      </c>
      <c r="AC92" s="194"/>
      <c r="AD92" s="861"/>
      <c r="AE92" s="194">
        <f>+'Exhibit F'!AF85+'Exhibit H'!AD46+'Exhibit G State'!AF68</f>
        <v>88.1</v>
      </c>
      <c r="AF92" s="194"/>
      <c r="AG92" s="1538"/>
      <c r="AH92" s="194">
        <f t="shared" si="15"/>
        <v>-3.2</v>
      </c>
      <c r="AI92" s="62"/>
      <c r="AJ92" s="607">
        <f>ROUND(SUM(AH92/ABS(AE92)),3)</f>
        <v>-3.5999999999999997E-2</v>
      </c>
    </row>
    <row r="93" spans="1:36" ht="15">
      <c r="A93" s="350" t="s">
        <v>414</v>
      </c>
      <c r="B93" s="62"/>
      <c r="C93" s="194"/>
      <c r="D93" s="194"/>
      <c r="E93" s="194"/>
      <c r="F93" s="194"/>
      <c r="G93" s="194"/>
      <c r="H93" s="194"/>
      <c r="I93" s="194"/>
      <c r="J93" s="194"/>
      <c r="K93" s="194"/>
      <c r="L93" s="194"/>
      <c r="M93" s="194"/>
      <c r="N93" s="194"/>
      <c r="O93" s="194"/>
      <c r="P93" s="194"/>
      <c r="Q93" s="194"/>
      <c r="R93" s="194"/>
      <c r="S93" s="194"/>
      <c r="T93" s="194"/>
      <c r="U93" s="194"/>
      <c r="V93" s="194"/>
      <c r="W93" s="194"/>
      <c r="X93" s="194"/>
      <c r="Y93" s="194"/>
      <c r="Z93" s="194"/>
      <c r="AA93" s="195"/>
      <c r="AB93" s="194"/>
      <c r="AC93" s="194"/>
      <c r="AD93" s="861"/>
      <c r="AE93" s="194"/>
      <c r="AF93" s="194"/>
      <c r="AG93" s="1538"/>
      <c r="AH93" s="194"/>
      <c r="AI93" s="62"/>
      <c r="AJ93" s="266"/>
    </row>
    <row r="94" spans="1:36" ht="15">
      <c r="A94" s="350" t="s">
        <v>415</v>
      </c>
      <c r="B94" s="62"/>
      <c r="C94" s="194">
        <f>+'Exhibit F'!D87+'Exhibit G State'!D70</f>
        <v>0.4</v>
      </c>
      <c r="D94" s="194"/>
      <c r="E94" s="194">
        <f>+'Exhibit F'!F87+'Exhibit G State'!F70</f>
        <v>18.499999999999996</v>
      </c>
      <c r="F94" s="194"/>
      <c r="G94" s="194">
        <f>+'Exhibit F'!H87+'Exhibit G State'!H70</f>
        <v>43.6</v>
      </c>
      <c r="H94" s="194"/>
      <c r="I94" s="194"/>
      <c r="J94" s="194"/>
      <c r="K94" s="194"/>
      <c r="L94" s="194"/>
      <c r="M94" s="194"/>
      <c r="N94" s="194"/>
      <c r="O94" s="194"/>
      <c r="P94" s="194"/>
      <c r="Q94" s="194"/>
      <c r="R94" s="194"/>
      <c r="S94" s="194"/>
      <c r="T94" s="194"/>
      <c r="U94" s="194"/>
      <c r="V94" s="194"/>
      <c r="W94" s="194"/>
      <c r="X94" s="194"/>
      <c r="Y94" s="194"/>
      <c r="Z94" s="194"/>
      <c r="AA94" s="195"/>
      <c r="AB94" s="194">
        <f t="shared" ref="AB94:AB104" si="21">ROUND(SUM(C94:Y94),1)</f>
        <v>62.5</v>
      </c>
      <c r="AC94" s="194"/>
      <c r="AD94" s="861"/>
      <c r="AE94" s="194">
        <f>+'Exhibit F'!AF87+'Exhibit G State'!AF70</f>
        <v>68.8</v>
      </c>
      <c r="AF94" s="194"/>
      <c r="AG94" s="1538"/>
      <c r="AH94" s="194">
        <f t="shared" si="15"/>
        <v>-6.3</v>
      </c>
      <c r="AI94" s="62"/>
      <c r="AJ94" s="607">
        <f>ROUND(SUM(AH94/ABS(AE94)),3)</f>
        <v>-9.1999999999999998E-2</v>
      </c>
    </row>
    <row r="95" spans="1:36" ht="15">
      <c r="A95" s="350" t="s">
        <v>416</v>
      </c>
      <c r="B95" s="62"/>
      <c r="C95" s="194">
        <f>+'Exhibit G State'!D71+'Exhibit F'!D88</f>
        <v>1.1000000000000001</v>
      </c>
      <c r="D95" s="194"/>
      <c r="E95" s="194">
        <f>+'Exhibit G State'!F71+'Exhibit F'!F88</f>
        <v>1.2</v>
      </c>
      <c r="F95" s="194"/>
      <c r="G95" s="194">
        <f>+'Exhibit G State'!H71+'Exhibit F'!H88</f>
        <v>0.69999999999999973</v>
      </c>
      <c r="H95" s="194"/>
      <c r="I95" s="194"/>
      <c r="J95" s="194"/>
      <c r="K95" s="194"/>
      <c r="L95" s="194"/>
      <c r="M95" s="194"/>
      <c r="N95" s="194"/>
      <c r="O95" s="194"/>
      <c r="P95" s="194"/>
      <c r="Q95" s="194"/>
      <c r="R95" s="194"/>
      <c r="S95" s="194"/>
      <c r="T95" s="194"/>
      <c r="U95" s="194"/>
      <c r="V95" s="194"/>
      <c r="W95" s="194"/>
      <c r="X95" s="194"/>
      <c r="Y95" s="194"/>
      <c r="Z95" s="194"/>
      <c r="AA95" s="195"/>
      <c r="AB95" s="194">
        <f t="shared" si="21"/>
        <v>3</v>
      </c>
      <c r="AC95" s="194"/>
      <c r="AD95" s="861"/>
      <c r="AE95" s="194">
        <f>+'Exhibit G State'!AF71+'Exhibit F'!AF88</f>
        <v>1.1000000000000001</v>
      </c>
      <c r="AF95" s="194"/>
      <c r="AG95" s="1538"/>
      <c r="AH95" s="194">
        <f t="shared" si="15"/>
        <v>1.9</v>
      </c>
      <c r="AI95" s="62"/>
      <c r="AJ95" s="542">
        <f>ROUND(IF(AE95=0,1,AH95/ABS(AE95)),3)</f>
        <v>1.7270000000000001</v>
      </c>
    </row>
    <row r="96" spans="1:36" ht="15">
      <c r="A96" s="350" t="s">
        <v>417</v>
      </c>
      <c r="B96" s="62"/>
      <c r="C96" s="194">
        <f>+'Exhibit F'!D89+'Exhibit G State'!D72</f>
        <v>6.5</v>
      </c>
      <c r="D96" s="194"/>
      <c r="E96" s="194">
        <f>+'Exhibit F'!F89+'Exhibit G State'!F72</f>
        <v>11.899999999999999</v>
      </c>
      <c r="F96" s="194"/>
      <c r="G96" s="194">
        <f>+'Exhibit F'!H89+'Exhibit G State'!H72</f>
        <v>2.3999999999999986</v>
      </c>
      <c r="H96" s="194"/>
      <c r="I96" s="194"/>
      <c r="J96" s="194"/>
      <c r="K96" s="194"/>
      <c r="L96" s="194"/>
      <c r="M96" s="194"/>
      <c r="N96" s="194"/>
      <c r="O96" s="194"/>
      <c r="P96" s="194"/>
      <c r="Q96" s="194"/>
      <c r="R96" s="194"/>
      <c r="S96" s="194"/>
      <c r="T96" s="194"/>
      <c r="U96" s="194"/>
      <c r="V96" s="194"/>
      <c r="W96" s="194"/>
      <c r="X96" s="194"/>
      <c r="Y96" s="194"/>
      <c r="Z96" s="194"/>
      <c r="AA96" s="195"/>
      <c r="AB96" s="194">
        <f t="shared" si="21"/>
        <v>20.8</v>
      </c>
      <c r="AC96" s="194"/>
      <c r="AD96" s="861"/>
      <c r="AE96" s="194">
        <f>+'Exhibit F'!AF89+'Exhibit G State'!AF72</f>
        <v>8.4</v>
      </c>
      <c r="AF96" s="194"/>
      <c r="AG96" s="1538"/>
      <c r="AH96" s="194">
        <f t="shared" si="15"/>
        <v>12.4</v>
      </c>
      <c r="AI96" s="62"/>
      <c r="AJ96" s="607">
        <f t="shared" ref="AJ96:AJ103" si="22">ROUND(SUM(AH96/ABS(AE96)),3)</f>
        <v>1.476</v>
      </c>
    </row>
    <row r="97" spans="1:37" ht="15">
      <c r="A97" s="350" t="s">
        <v>418</v>
      </c>
      <c r="B97" s="62"/>
      <c r="C97" s="194">
        <f>+'Exhibit F'!D90+'Exhibit G State'!D73</f>
        <v>-0.2</v>
      </c>
      <c r="D97" s="194"/>
      <c r="E97" s="194">
        <f>+'Exhibit F'!F90+'Exhibit G State'!F73</f>
        <v>0.4</v>
      </c>
      <c r="F97" s="194"/>
      <c r="G97" s="194">
        <f>+'Exhibit F'!H90+'Exhibit G State'!H73</f>
        <v>44.5</v>
      </c>
      <c r="H97" s="194"/>
      <c r="I97" s="194"/>
      <c r="J97" s="194"/>
      <c r="K97" s="194"/>
      <c r="L97" s="194"/>
      <c r="M97" s="194"/>
      <c r="N97" s="194"/>
      <c r="O97" s="194"/>
      <c r="P97" s="194"/>
      <c r="Q97" s="194"/>
      <c r="R97" s="194"/>
      <c r="S97" s="194"/>
      <c r="T97" s="194"/>
      <c r="U97" s="194"/>
      <c r="V97" s="194"/>
      <c r="W97" s="194"/>
      <c r="X97" s="194"/>
      <c r="Y97" s="194"/>
      <c r="Z97" s="194"/>
      <c r="AA97" s="195"/>
      <c r="AB97" s="194">
        <f t="shared" si="21"/>
        <v>44.7</v>
      </c>
      <c r="AC97" s="194"/>
      <c r="AD97" s="861"/>
      <c r="AE97" s="194">
        <f>+'Exhibit F'!AF90+'Exhibit G State'!AF73</f>
        <v>27.1</v>
      </c>
      <c r="AF97" s="194"/>
      <c r="AG97" s="1538"/>
      <c r="AH97" s="194">
        <f t="shared" si="15"/>
        <v>17.600000000000001</v>
      </c>
      <c r="AI97" s="62"/>
      <c r="AJ97" s="266">
        <f>ROUND(IF(AE97=0,1,AH97/ABS(AE97)),3)</f>
        <v>0.64900000000000002</v>
      </c>
    </row>
    <row r="98" spans="1:37" ht="15">
      <c r="A98" s="350" t="s">
        <v>419</v>
      </c>
      <c r="B98" s="62"/>
      <c r="C98" s="194">
        <f>+'Exhibit F'!D91+'Exhibit H'!B48+'Exhibit G State'!D74</f>
        <v>438.3</v>
      </c>
      <c r="D98" s="194"/>
      <c r="E98" s="194">
        <f>+'Exhibit F'!F91+'Exhibit H'!D48+'Exhibit G State'!F74</f>
        <v>324</v>
      </c>
      <c r="F98" s="194"/>
      <c r="G98" s="194">
        <f>+'Exhibit F'!H91+'Exhibit H'!F48+'Exhibit G State'!H74</f>
        <v>357.1</v>
      </c>
      <c r="H98" s="194"/>
      <c r="I98" s="194"/>
      <c r="J98" s="194"/>
      <c r="K98" s="194"/>
      <c r="L98" s="194"/>
      <c r="M98" s="194"/>
      <c r="N98" s="194"/>
      <c r="O98" s="194"/>
      <c r="P98" s="194"/>
      <c r="Q98" s="194"/>
      <c r="R98" s="194"/>
      <c r="S98" s="194"/>
      <c r="T98" s="194"/>
      <c r="U98" s="194"/>
      <c r="V98" s="194"/>
      <c r="W98" s="194"/>
      <c r="X98" s="194"/>
      <c r="Y98" s="194"/>
      <c r="Z98" s="194"/>
      <c r="AA98" s="195"/>
      <c r="AB98" s="194">
        <f t="shared" si="21"/>
        <v>1119.4000000000001</v>
      </c>
      <c r="AC98" s="194"/>
      <c r="AD98" s="861"/>
      <c r="AE98" s="194">
        <f>+'Exhibit F'!AF91+'Exhibit H'!AD48+'Exhibit G State'!AF74</f>
        <v>1119.3</v>
      </c>
      <c r="AF98" s="194"/>
      <c r="AG98" s="1538"/>
      <c r="AH98" s="194">
        <f t="shared" si="15"/>
        <v>0.1</v>
      </c>
      <c r="AI98" s="62"/>
      <c r="AJ98" s="607">
        <f t="shared" si="22"/>
        <v>0</v>
      </c>
    </row>
    <row r="99" spans="1:37" ht="15">
      <c r="A99" s="350" t="s">
        <v>420</v>
      </c>
      <c r="B99" s="62"/>
      <c r="C99" s="194">
        <f>+'Exhibit G State'!D75+'Exhibit F'!D92</f>
        <v>4.5999999999999996</v>
      </c>
      <c r="D99" s="194"/>
      <c r="E99" s="194">
        <f>+'Exhibit G State'!F75+'Exhibit F'!F92</f>
        <v>0.5</v>
      </c>
      <c r="F99" s="194"/>
      <c r="G99" s="194">
        <f>+'Exhibit G State'!H75+'Exhibit F'!H92</f>
        <v>2.9000000000000004</v>
      </c>
      <c r="H99" s="194"/>
      <c r="I99" s="194"/>
      <c r="J99" s="194"/>
      <c r="K99" s="194"/>
      <c r="L99" s="194"/>
      <c r="M99" s="194"/>
      <c r="N99" s="194"/>
      <c r="O99" s="194"/>
      <c r="P99" s="194"/>
      <c r="Q99" s="194"/>
      <c r="R99" s="194"/>
      <c r="S99" s="194"/>
      <c r="T99" s="194"/>
      <c r="U99" s="194"/>
      <c r="V99" s="194"/>
      <c r="W99" s="194"/>
      <c r="X99" s="194"/>
      <c r="Y99" s="194"/>
      <c r="Z99" s="194"/>
      <c r="AA99" s="195"/>
      <c r="AB99" s="194">
        <f t="shared" si="21"/>
        <v>8</v>
      </c>
      <c r="AC99" s="194"/>
      <c r="AD99" s="861"/>
      <c r="AE99" s="194">
        <f>+'Exhibit G State'!AF75+'Exhibit F'!AF92</f>
        <v>6.6000000000000005</v>
      </c>
      <c r="AF99" s="194"/>
      <c r="AG99" s="1538"/>
      <c r="AH99" s="194">
        <f t="shared" si="15"/>
        <v>1.4</v>
      </c>
      <c r="AI99" s="62"/>
      <c r="AJ99" s="283">
        <f>ROUND(SUM(AH99/ABS(AE99)),3)</f>
        <v>0.21199999999999999</v>
      </c>
    </row>
    <row r="100" spans="1:37" ht="15">
      <c r="A100" s="350" t="s">
        <v>421</v>
      </c>
      <c r="B100" s="62"/>
      <c r="C100" s="194">
        <f>+'Exhibit F'!D93+'Exhibit G State'!D76</f>
        <v>21.8</v>
      </c>
      <c r="D100" s="194"/>
      <c r="E100" s="194">
        <f>+'Exhibit F'!F93+'Exhibit G State'!F76</f>
        <v>0.80000000000000071</v>
      </c>
      <c r="F100" s="194"/>
      <c r="G100" s="194">
        <f>+'Exhibit F'!H93+'Exhibit G State'!H76</f>
        <v>2.1999999999999993</v>
      </c>
      <c r="H100" s="194"/>
      <c r="I100" s="194"/>
      <c r="J100" s="194"/>
      <c r="K100" s="194"/>
      <c r="L100" s="194"/>
      <c r="M100" s="194"/>
      <c r="N100" s="194"/>
      <c r="O100" s="194"/>
      <c r="P100" s="194"/>
      <c r="Q100" s="194"/>
      <c r="R100" s="194"/>
      <c r="S100" s="194"/>
      <c r="T100" s="194"/>
      <c r="U100" s="194"/>
      <c r="V100" s="194"/>
      <c r="W100" s="194"/>
      <c r="X100" s="194"/>
      <c r="Y100" s="194"/>
      <c r="Z100" s="194"/>
      <c r="AA100" s="195"/>
      <c r="AB100" s="194">
        <f t="shared" si="21"/>
        <v>24.8</v>
      </c>
      <c r="AC100" s="194"/>
      <c r="AD100" s="861"/>
      <c r="AE100" s="194">
        <f>+'Exhibit F'!AF93+'Exhibit G State'!AF76</f>
        <v>17.400000000000002</v>
      </c>
      <c r="AF100" s="194"/>
      <c r="AG100" s="1538"/>
      <c r="AH100" s="194">
        <f t="shared" si="15"/>
        <v>7.4</v>
      </c>
      <c r="AI100" s="62"/>
      <c r="AJ100" s="607">
        <f t="shared" si="22"/>
        <v>0.42499999999999999</v>
      </c>
    </row>
    <row r="101" spans="1:37" ht="15">
      <c r="A101" s="350" t="s">
        <v>422</v>
      </c>
      <c r="B101" s="62"/>
      <c r="C101" s="194">
        <f>+'Exhibit F'!D94+'Exhibit G State'!D77</f>
        <v>1</v>
      </c>
      <c r="D101" s="194"/>
      <c r="E101" s="194">
        <f>+'Exhibit F'!F94+'Exhibit G State'!F77</f>
        <v>1.1000000000000001</v>
      </c>
      <c r="F101" s="194"/>
      <c r="G101" s="194">
        <f>+'Exhibit F'!H94+'Exhibit G State'!H77</f>
        <v>1</v>
      </c>
      <c r="H101" s="194"/>
      <c r="I101" s="194"/>
      <c r="J101" s="194"/>
      <c r="K101" s="194"/>
      <c r="L101" s="194"/>
      <c r="M101" s="194"/>
      <c r="N101" s="194"/>
      <c r="O101" s="194"/>
      <c r="P101" s="194"/>
      <c r="Q101" s="194"/>
      <c r="R101" s="194"/>
      <c r="S101" s="194"/>
      <c r="T101" s="194"/>
      <c r="U101" s="194"/>
      <c r="V101" s="194"/>
      <c r="W101" s="194"/>
      <c r="X101" s="194"/>
      <c r="Y101" s="194"/>
      <c r="Z101" s="194"/>
      <c r="AA101" s="195"/>
      <c r="AB101" s="194">
        <f t="shared" si="21"/>
        <v>3.1</v>
      </c>
      <c r="AC101" s="194"/>
      <c r="AD101" s="861"/>
      <c r="AE101" s="194">
        <f>+'Exhibit F'!AF94+'Exhibit G State'!AF77</f>
        <v>3.5</v>
      </c>
      <c r="AF101" s="194"/>
      <c r="AG101" s="1538"/>
      <c r="AH101" s="194">
        <f t="shared" si="15"/>
        <v>-0.4</v>
      </c>
      <c r="AI101" s="62"/>
      <c r="AJ101" s="283">
        <f t="shared" si="22"/>
        <v>-0.114</v>
      </c>
    </row>
    <row r="102" spans="1:37" ht="15">
      <c r="A102" s="350" t="s">
        <v>423</v>
      </c>
      <c r="B102" s="62"/>
      <c r="C102" s="194">
        <f>+'Exhibit F'!D95+'Exhibit G State'!D78+'Exhibit H'!B49</f>
        <v>20.8</v>
      </c>
      <c r="D102" s="194"/>
      <c r="E102" s="194">
        <f>+'Exhibit F'!F95+'Exhibit G State'!F78+'Exhibit H'!D49</f>
        <v>60</v>
      </c>
      <c r="F102" s="194"/>
      <c r="G102" s="194">
        <f>+'Exhibit F'!H95+'Exhibit G State'!H78+'Exhibit H'!F49</f>
        <v>101.69999999999999</v>
      </c>
      <c r="H102" s="194"/>
      <c r="I102" s="194"/>
      <c r="J102" s="194"/>
      <c r="K102" s="194"/>
      <c r="L102" s="194"/>
      <c r="M102" s="194"/>
      <c r="N102" s="194"/>
      <c r="O102" s="194"/>
      <c r="P102" s="194"/>
      <c r="Q102" s="194"/>
      <c r="R102" s="194"/>
      <c r="S102" s="194"/>
      <c r="T102" s="194"/>
      <c r="U102" s="194"/>
      <c r="V102" s="194"/>
      <c r="W102" s="194"/>
      <c r="X102" s="194"/>
      <c r="Y102" s="194"/>
      <c r="Z102" s="194"/>
      <c r="AA102" s="195"/>
      <c r="AB102" s="194">
        <f t="shared" si="21"/>
        <v>182.5</v>
      </c>
      <c r="AC102" s="194"/>
      <c r="AD102" s="861"/>
      <c r="AE102" s="194">
        <f>+'Exhibit F'!AF95+'Exhibit G State'!AF78+'Exhibit H'!AD49</f>
        <v>252.60000000000002</v>
      </c>
      <c r="AF102" s="194"/>
      <c r="AG102" s="1538"/>
      <c r="AH102" s="194">
        <f t="shared" si="15"/>
        <v>-70.099999999999994</v>
      </c>
      <c r="AI102" s="62"/>
      <c r="AJ102" s="607">
        <f t="shared" si="22"/>
        <v>-0.27800000000000002</v>
      </c>
    </row>
    <row r="103" spans="1:37" ht="15">
      <c r="A103" s="350" t="s">
        <v>424</v>
      </c>
      <c r="B103" s="62"/>
      <c r="C103" s="194">
        <f>+'Exhibit F'!D96+'Exhibit G State'!D79+'Exhibit H'!B50</f>
        <v>1.3</v>
      </c>
      <c r="D103" s="194"/>
      <c r="E103" s="194">
        <f>+'Exhibit F'!F96+'Exhibit G State'!F79+'Exhibit H'!D50</f>
        <v>1.5</v>
      </c>
      <c r="F103" s="194"/>
      <c r="G103" s="194">
        <f>+'Exhibit F'!H96+'Exhibit G State'!H79+'Exhibit H'!F50</f>
        <v>3.5999999999999996</v>
      </c>
      <c r="H103" s="194"/>
      <c r="I103" s="194"/>
      <c r="J103" s="194"/>
      <c r="K103" s="194"/>
      <c r="L103" s="194"/>
      <c r="M103" s="194"/>
      <c r="N103" s="194"/>
      <c r="O103" s="194"/>
      <c r="P103" s="194"/>
      <c r="Q103" s="194"/>
      <c r="R103" s="194"/>
      <c r="S103" s="194"/>
      <c r="T103" s="194"/>
      <c r="U103" s="194"/>
      <c r="V103" s="194"/>
      <c r="W103" s="194"/>
      <c r="X103" s="194"/>
      <c r="Y103" s="194"/>
      <c r="Z103" s="194"/>
      <c r="AA103" s="195"/>
      <c r="AB103" s="194">
        <f t="shared" si="21"/>
        <v>6.4</v>
      </c>
      <c r="AC103" s="194"/>
      <c r="AD103" s="861"/>
      <c r="AE103" s="194">
        <f>+'Exhibit F'!AF96+'Exhibit G State'!AF79+'Exhibit H'!AD50</f>
        <v>4.8</v>
      </c>
      <c r="AF103" s="194"/>
      <c r="AG103" s="1538"/>
      <c r="AH103" s="194">
        <f t="shared" si="15"/>
        <v>1.6</v>
      </c>
      <c r="AI103" s="62"/>
      <c r="AJ103" s="283">
        <f t="shared" si="22"/>
        <v>0.33300000000000002</v>
      </c>
    </row>
    <row r="104" spans="1:37" ht="15">
      <c r="A104" s="350" t="s">
        <v>425</v>
      </c>
      <c r="B104" s="62"/>
      <c r="C104" s="194">
        <f>+'Exhibit G State'!D80</f>
        <v>36.4</v>
      </c>
      <c r="D104" s="194"/>
      <c r="E104" s="194">
        <f>+'Exhibit G State'!F80</f>
        <v>41.000000000000007</v>
      </c>
      <c r="F104" s="194"/>
      <c r="G104" s="194">
        <f>+'Exhibit G State'!H80</f>
        <v>26.700000000000003</v>
      </c>
      <c r="H104" s="194"/>
      <c r="I104" s="194"/>
      <c r="J104" s="194"/>
      <c r="K104" s="194"/>
      <c r="L104" s="194"/>
      <c r="M104" s="194"/>
      <c r="N104" s="194"/>
      <c r="O104" s="194"/>
      <c r="P104" s="194"/>
      <c r="Q104" s="194"/>
      <c r="R104" s="194"/>
      <c r="S104" s="194"/>
      <c r="T104" s="194"/>
      <c r="U104" s="194"/>
      <c r="V104" s="194"/>
      <c r="W104" s="194"/>
      <c r="X104" s="194"/>
      <c r="Y104" s="194"/>
      <c r="Z104" s="194"/>
      <c r="AA104" s="195"/>
      <c r="AB104" s="194">
        <f t="shared" si="21"/>
        <v>104.1</v>
      </c>
      <c r="AC104" s="194"/>
      <c r="AD104" s="861"/>
      <c r="AE104" s="194">
        <f>+'Exhibit G State'!AF80</f>
        <v>114.5</v>
      </c>
      <c r="AF104" s="194"/>
      <c r="AG104" s="1538"/>
      <c r="AH104" s="194">
        <f t="shared" si="15"/>
        <v>-10.4</v>
      </c>
      <c r="AI104" s="62"/>
      <c r="AJ104" s="283">
        <f>ROUND(SUM(AH104/ABS(AE104)),3)</f>
        <v>-9.0999999999999998E-2</v>
      </c>
    </row>
    <row r="105" spans="1:37" ht="15.75">
      <c r="A105" s="83" t="s">
        <v>426</v>
      </c>
      <c r="B105" s="57"/>
      <c r="C105" s="68">
        <f>ROUND(SUM(C64:C104),1)</f>
        <v>2626.1</v>
      </c>
      <c r="D105" s="418"/>
      <c r="E105" s="68">
        <f>ROUND(SUM(E64:E104),1)</f>
        <v>3206.4</v>
      </c>
      <c r="F105" s="418"/>
      <c r="G105" s="68">
        <f>ROUND(SUM(G64:G104),1)</f>
        <v>2433.1999999999998</v>
      </c>
      <c r="H105" s="13"/>
      <c r="I105" s="68">
        <f>ROUND(SUM(I64:I104),1)</f>
        <v>0</v>
      </c>
      <c r="J105" s="13"/>
      <c r="K105" s="68">
        <f>ROUND(SUM(K64:K104),1)</f>
        <v>0</v>
      </c>
      <c r="L105" s="13"/>
      <c r="M105" s="68">
        <f>ROUND(SUM(M64:M104),1)</f>
        <v>0</v>
      </c>
      <c r="N105" s="13"/>
      <c r="O105" s="68">
        <f>ROUND(SUM(O64:O104),1)</f>
        <v>0</v>
      </c>
      <c r="P105" s="13"/>
      <c r="Q105" s="68">
        <f>ROUND(SUM(Q64:Q104),1)</f>
        <v>0</v>
      </c>
      <c r="R105" s="13"/>
      <c r="S105" s="68">
        <f>ROUND(SUM(S64:S104),1)</f>
        <v>0</v>
      </c>
      <c r="T105" s="13"/>
      <c r="U105" s="68">
        <f>ROUND(SUM(U64:U104),1)</f>
        <v>0</v>
      </c>
      <c r="V105" s="13"/>
      <c r="W105" s="68">
        <f>ROUND(SUM(W64:W104),1)</f>
        <v>0</v>
      </c>
      <c r="X105" s="40"/>
      <c r="Y105" s="68">
        <f>ROUND(SUM(Y64:Y104),1)</f>
        <v>0</v>
      </c>
      <c r="Z105" s="40"/>
      <c r="AA105" s="69"/>
      <c r="AB105" s="68">
        <f>ROUND(SUM(AB64:AB104),1)</f>
        <v>8265.7000000000007</v>
      </c>
      <c r="AC105" s="13"/>
      <c r="AD105" s="14"/>
      <c r="AE105" s="68">
        <f>ROUND(SUM(AE64:AE104),1)</f>
        <v>6865.8</v>
      </c>
      <c r="AF105" s="13"/>
      <c r="AG105" s="707"/>
      <c r="AH105" s="68">
        <f>ROUND(SUM(AH64:AH104),1)</f>
        <v>1399.9</v>
      </c>
      <c r="AI105" s="13"/>
      <c r="AJ105" s="416">
        <f>ROUND(SUM(+AH105/ABS(AE105)),3)</f>
        <v>0.20399999999999999</v>
      </c>
    </row>
    <row r="106" spans="1:37" ht="15">
      <c r="A106" s="62"/>
      <c r="B106" s="62"/>
      <c r="C106" s="194"/>
      <c r="D106" s="194"/>
      <c r="E106" s="194"/>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5"/>
      <c r="AB106" s="194"/>
      <c r="AC106" s="194"/>
      <c r="AD106" s="195"/>
      <c r="AE106" s="194"/>
      <c r="AF106" s="194"/>
      <c r="AG106" s="1538"/>
      <c r="AH106" s="194"/>
      <c r="AI106" s="62"/>
      <c r="AJ106" s="283"/>
    </row>
    <row r="107" spans="1:37" ht="15">
      <c r="A107" s="62" t="s">
        <v>120</v>
      </c>
      <c r="B107" s="62"/>
      <c r="C107" s="196">
        <f>+'Exhibit F'!D99+'Exhibit G State'!D83+'Exhibit H'!B53</f>
        <v>27.200000000000003</v>
      </c>
      <c r="D107" s="194"/>
      <c r="E107" s="196">
        <f>+'Exhibit F'!F99+'Exhibit G State'!F83+'Exhibit H'!D53</f>
        <v>0.1</v>
      </c>
      <c r="F107" s="194"/>
      <c r="G107" s="196">
        <f>+'Exhibit F'!H99+'Exhibit G State'!H83+'Exhibit H'!F53</f>
        <v>1.1000000000000001</v>
      </c>
      <c r="H107" s="194"/>
      <c r="I107" s="196"/>
      <c r="J107" s="194"/>
      <c r="K107" s="196"/>
      <c r="L107" s="194"/>
      <c r="M107" s="196"/>
      <c r="N107" s="194"/>
      <c r="O107" s="196"/>
      <c r="P107" s="194"/>
      <c r="Q107" s="196"/>
      <c r="R107" s="194"/>
      <c r="S107" s="196"/>
      <c r="T107" s="194"/>
      <c r="U107" s="196"/>
      <c r="V107" s="194"/>
      <c r="W107" s="196"/>
      <c r="X107" s="194"/>
      <c r="Y107" s="196"/>
      <c r="Z107" s="194"/>
      <c r="AA107" s="195"/>
      <c r="AB107" s="196">
        <f>ROUND(SUM(C107:Y107),1)</f>
        <v>28.4</v>
      </c>
      <c r="AC107" s="194"/>
      <c r="AD107" s="861"/>
      <c r="AE107" s="196">
        <f>'Exhibit F'!AF99+'Exhibit G State'!AF83+'Exhibit H'!AD53</f>
        <v>29.4</v>
      </c>
      <c r="AF107" s="194"/>
      <c r="AG107" s="1538"/>
      <c r="AH107" s="196">
        <f>ROUND(SUM(AB107-AE107),1)</f>
        <v>-1</v>
      </c>
      <c r="AI107" s="62"/>
      <c r="AJ107" s="561">
        <f>ROUND(IF(AE107=0,1,AH107/ABS(AE107)),3)</f>
        <v>-3.4000000000000002E-2</v>
      </c>
    </row>
    <row r="108" spans="1:37" ht="15">
      <c r="A108" s="62"/>
      <c r="B108" s="62"/>
      <c r="C108" s="194"/>
      <c r="D108" s="194"/>
      <c r="E108" s="194"/>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5"/>
      <c r="AB108" s="194"/>
      <c r="AC108" s="194"/>
      <c r="AD108" s="861"/>
      <c r="AE108" s="194"/>
      <c r="AF108" s="194"/>
      <c r="AG108" s="1538"/>
      <c r="AH108" s="194"/>
      <c r="AI108" s="62"/>
      <c r="AJ108" s="1019"/>
    </row>
    <row r="109" spans="1:37" ht="15.75">
      <c r="A109" s="3" t="s">
        <v>427</v>
      </c>
      <c r="B109" s="364"/>
      <c r="C109" s="357">
        <f>ROUND(SUM(C107+C105+C60),1)</f>
        <v>16557.5</v>
      </c>
      <c r="D109" s="13"/>
      <c r="E109" s="357">
        <f>ROUND(SUM(E107+E105+E60),1)</f>
        <v>9777.5</v>
      </c>
      <c r="F109" s="13"/>
      <c r="G109" s="357">
        <f>ROUND(SUM(G107+G105+G60),1)</f>
        <v>18873.5</v>
      </c>
      <c r="H109" s="13"/>
      <c r="I109" s="357">
        <f>ROUND(SUM(I107+I105+I60),1)</f>
        <v>0</v>
      </c>
      <c r="J109" s="13"/>
      <c r="K109" s="357">
        <f>ROUND(SUM(K107+K105+K60),1)</f>
        <v>0</v>
      </c>
      <c r="L109" s="13"/>
      <c r="M109" s="357">
        <f>ROUND(SUM(M107+M105+M60),1)</f>
        <v>0</v>
      </c>
      <c r="N109" s="13"/>
      <c r="O109" s="357">
        <f>ROUND(SUM(O107+O105+O60),1)</f>
        <v>0</v>
      </c>
      <c r="P109" s="13"/>
      <c r="Q109" s="357">
        <f>ROUND(SUM(Q107+Q105+Q60),1)</f>
        <v>0</v>
      </c>
      <c r="R109" s="13"/>
      <c r="S109" s="357">
        <f>ROUND(SUM(S107+S105+S60),1)</f>
        <v>0</v>
      </c>
      <c r="T109" s="13"/>
      <c r="U109" s="357">
        <f>ROUND(SUM(U107+U105+U60),1)</f>
        <v>0</v>
      </c>
      <c r="V109" s="13"/>
      <c r="W109" s="357">
        <f>ROUND(SUM(W107+W105+W60),1)</f>
        <v>0</v>
      </c>
      <c r="X109" s="40"/>
      <c r="Y109" s="357">
        <f>ROUND(SUM(Y107+Y105+Y60),1)</f>
        <v>0</v>
      </c>
      <c r="Z109" s="1212"/>
      <c r="AA109" s="3"/>
      <c r="AB109" s="357">
        <f>ROUND(SUM(AB107+AB105+AB60),1)</f>
        <v>45208.5</v>
      </c>
      <c r="AC109" s="13"/>
      <c r="AD109" s="14"/>
      <c r="AE109" s="357">
        <f>ROUND(SUM(AE107+AE105+AE60),1)</f>
        <v>39771.4</v>
      </c>
      <c r="AF109" s="13"/>
      <c r="AG109" s="707"/>
      <c r="AH109" s="357">
        <f>ROUND(SUM(AH107+AH105+AH60),1)</f>
        <v>5437.1</v>
      </c>
      <c r="AI109" s="13"/>
      <c r="AJ109" s="368">
        <f>ROUND(SUM(+AH109/ABS(AE109)),3)</f>
        <v>0.13700000000000001</v>
      </c>
      <c r="AK109" s="129"/>
    </row>
    <row r="110" spans="1:37" ht="15.75">
      <c r="A110" s="40"/>
      <c r="B110" s="62"/>
      <c r="C110" s="11"/>
      <c r="D110" s="194"/>
      <c r="E110" s="11"/>
      <c r="F110" s="194"/>
      <c r="G110" s="11"/>
      <c r="H110" s="194"/>
      <c r="I110" s="11"/>
      <c r="J110" s="194"/>
      <c r="K110" s="11"/>
      <c r="L110" s="194"/>
      <c r="M110" s="11"/>
      <c r="N110" s="194"/>
      <c r="O110" s="11"/>
      <c r="P110" s="194"/>
      <c r="Q110" s="11"/>
      <c r="R110" s="194"/>
      <c r="S110" s="11"/>
      <c r="T110" s="194"/>
      <c r="U110" s="11"/>
      <c r="V110" s="194"/>
      <c r="W110" s="11"/>
      <c r="X110" s="194"/>
      <c r="Y110" s="11"/>
      <c r="Z110" s="194"/>
      <c r="AA110" s="195"/>
      <c r="AB110" s="11"/>
      <c r="AC110" s="194"/>
      <c r="AD110" s="861"/>
      <c r="AE110" s="11"/>
      <c r="AF110" s="194"/>
      <c r="AG110" s="1538"/>
      <c r="AH110" s="264"/>
      <c r="AI110" s="62"/>
      <c r="AJ110" s="268"/>
    </row>
    <row r="111" spans="1:37" ht="15.75">
      <c r="A111" s="40" t="s">
        <v>122</v>
      </c>
      <c r="B111" s="62"/>
      <c r="C111" s="194"/>
      <c r="D111" s="194"/>
      <c r="E111" s="194"/>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5"/>
      <c r="AB111" s="194"/>
      <c r="AC111" s="194"/>
      <c r="AD111" s="861"/>
      <c r="AE111" s="194"/>
      <c r="AF111" s="194"/>
      <c r="AG111" s="1538"/>
      <c r="AH111" s="264"/>
      <c r="AI111" s="62"/>
      <c r="AJ111" s="268"/>
    </row>
    <row r="112" spans="1:37" ht="15">
      <c r="A112" s="62" t="s">
        <v>428</v>
      </c>
      <c r="B112" s="62"/>
      <c r="C112" s="194"/>
      <c r="D112" s="194"/>
      <c r="E112" s="194"/>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5"/>
      <c r="AB112" s="194"/>
      <c r="AC112" s="194"/>
      <c r="AD112" s="861"/>
      <c r="AE112" s="264"/>
      <c r="AF112" s="194"/>
      <c r="AG112" s="1538"/>
      <c r="AH112" s="194"/>
      <c r="AI112" s="62"/>
      <c r="AJ112" s="283"/>
    </row>
    <row r="113" spans="1:37" ht="15">
      <c r="A113" s="752" t="s">
        <v>124</v>
      </c>
      <c r="B113" s="62"/>
      <c r="C113" s="194">
        <f>+'Exhibit F'!D105+'Exhibit G State'!D89</f>
        <v>2529.1000000000004</v>
      </c>
      <c r="D113" s="194"/>
      <c r="E113" s="194">
        <f>+'Exhibit F'!F105+'Exhibit G State'!F89</f>
        <v>5876.8999999999987</v>
      </c>
      <c r="F113" s="194"/>
      <c r="G113" s="194">
        <f>+'Exhibit F'!H105+'Exhibit G State'!H89</f>
        <v>3022.4</v>
      </c>
      <c r="H113" s="194"/>
      <c r="I113" s="194"/>
      <c r="J113" s="194"/>
      <c r="K113" s="194"/>
      <c r="L113" s="194"/>
      <c r="M113" s="194"/>
      <c r="N113" s="194"/>
      <c r="O113" s="194"/>
      <c r="P113" s="194"/>
      <c r="Q113" s="194"/>
      <c r="R113" s="194"/>
      <c r="S113" s="194"/>
      <c r="T113" s="194"/>
      <c r="U113" s="194"/>
      <c r="V113" s="194"/>
      <c r="W113" s="194"/>
      <c r="X113" s="194"/>
      <c r="Y113" s="194"/>
      <c r="Z113" s="194"/>
      <c r="AA113" s="195"/>
      <c r="AB113" s="264">
        <f>ROUND(SUM(C113:Y113),1)</f>
        <v>11428.4</v>
      </c>
      <c r="AC113" s="194"/>
      <c r="AD113" s="861"/>
      <c r="AE113" s="264">
        <f>+'Exhibit F'!AF105+'Exhibit G State'!AF89</f>
        <v>10684.5</v>
      </c>
      <c r="AF113" s="194"/>
      <c r="AG113" s="1538"/>
      <c r="AH113" s="194">
        <f>ROUND(SUM(AB113-AE113),1)</f>
        <v>743.9</v>
      </c>
      <c r="AI113" s="62"/>
      <c r="AJ113" s="283">
        <f>ROUND(SUM(AH113/ABS(AE113)),3)</f>
        <v>7.0000000000000007E-2</v>
      </c>
    </row>
    <row r="114" spans="1:37" ht="15">
      <c r="A114" s="752" t="s">
        <v>125</v>
      </c>
      <c r="B114" s="62"/>
      <c r="C114" s="194">
        <f>+'Exhibit F'!D106+'Exhibit G State'!D90</f>
        <v>0.3</v>
      </c>
      <c r="D114" s="194"/>
      <c r="E114" s="194">
        <f>+'Exhibit F'!F106+'Exhibit G State'!F90</f>
        <v>0.4</v>
      </c>
      <c r="F114" s="194"/>
      <c r="G114" s="194">
        <f>+'Exhibit F'!H106+'Exhibit G State'!H90</f>
        <v>2.6000000000000005</v>
      </c>
      <c r="H114" s="194"/>
      <c r="I114" s="194"/>
      <c r="J114" s="194"/>
      <c r="K114" s="194"/>
      <c r="L114" s="194"/>
      <c r="M114" s="194"/>
      <c r="N114" s="194"/>
      <c r="O114" s="194"/>
      <c r="P114" s="194"/>
      <c r="Q114" s="194"/>
      <c r="R114" s="194"/>
      <c r="S114" s="194"/>
      <c r="T114" s="194"/>
      <c r="U114" s="194"/>
      <c r="V114" s="194"/>
      <c r="W114" s="194"/>
      <c r="X114" s="194"/>
      <c r="Y114" s="194"/>
      <c r="Z114" s="194"/>
      <c r="AA114" s="195"/>
      <c r="AB114" s="264">
        <f t="shared" ref="AB114:AB121" si="23">ROUND(SUM(C114:Y114),1)</f>
        <v>3.3</v>
      </c>
      <c r="AC114" s="194"/>
      <c r="AD114" s="861"/>
      <c r="AE114" s="264">
        <f>+'Exhibit F'!AF106+'Exhibit G State'!AF90</f>
        <v>0.4</v>
      </c>
      <c r="AF114" s="194"/>
      <c r="AG114" s="1538"/>
      <c r="AH114" s="194">
        <f t="shared" ref="AH114:AH121" si="24">ROUND(SUM(AB114-AE114),1)</f>
        <v>2.9</v>
      </c>
      <c r="AI114" s="62"/>
      <c r="AJ114" s="607">
        <f>ROUND(IF(AE114=0,1,AH114/ABS(AE114)),3)</f>
        <v>7.25</v>
      </c>
    </row>
    <row r="115" spans="1:37" ht="15">
      <c r="A115" s="752" t="s">
        <v>126</v>
      </c>
      <c r="B115" s="62"/>
      <c r="C115" s="194">
        <f>+'Exhibit F'!D107+'Exhibit G State'!D91</f>
        <v>45</v>
      </c>
      <c r="D115" s="194"/>
      <c r="E115" s="194">
        <f>+'Exhibit F'!F107+'Exhibit G State'!F91</f>
        <v>95.2</v>
      </c>
      <c r="F115" s="194"/>
      <c r="G115" s="194">
        <f>+'Exhibit F'!H107+'Exhibit G State'!H91</f>
        <v>794.9</v>
      </c>
      <c r="H115" s="194"/>
      <c r="I115" s="194"/>
      <c r="J115" s="194"/>
      <c r="K115" s="194"/>
      <c r="L115" s="194"/>
      <c r="M115" s="194"/>
      <c r="N115" s="194"/>
      <c r="O115" s="194"/>
      <c r="P115" s="194"/>
      <c r="Q115" s="194"/>
      <c r="R115" s="194"/>
      <c r="S115" s="194"/>
      <c r="T115" s="194"/>
      <c r="U115" s="194"/>
      <c r="V115" s="194"/>
      <c r="W115" s="194"/>
      <c r="X115" s="194"/>
      <c r="Y115" s="194"/>
      <c r="Z115" s="194"/>
      <c r="AA115" s="195"/>
      <c r="AB115" s="264">
        <f t="shared" si="23"/>
        <v>935.1</v>
      </c>
      <c r="AC115" s="194"/>
      <c r="AD115" s="861"/>
      <c r="AE115" s="264">
        <f>+'Exhibit F'!AF107+'Exhibit G State'!AF91</f>
        <v>570.70000000000005</v>
      </c>
      <c r="AF115" s="194"/>
      <c r="AG115" s="1538"/>
      <c r="AH115" s="194">
        <f t="shared" si="24"/>
        <v>364.4</v>
      </c>
      <c r="AI115" s="62"/>
      <c r="AJ115" s="283">
        <f>ROUND(SUM(AH115/ABS(AE115)),3)</f>
        <v>0.63900000000000001</v>
      </c>
    </row>
    <row r="116" spans="1:37" ht="15">
      <c r="A116" s="752" t="s">
        <v>127</v>
      </c>
      <c r="B116" s="62"/>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5"/>
      <c r="AB116" s="264"/>
      <c r="AC116" s="194"/>
      <c r="AD116" s="861"/>
      <c r="AE116" s="275"/>
      <c r="AF116" s="194"/>
      <c r="AG116" s="1538"/>
      <c r="AH116" s="194" t="s">
        <v>103</v>
      </c>
      <c r="AI116" s="62"/>
      <c r="AJ116" s="283"/>
    </row>
    <row r="117" spans="1:37" ht="15">
      <c r="A117" s="753" t="s">
        <v>128</v>
      </c>
      <c r="B117" s="62"/>
      <c r="C117" s="194">
        <f>+'Exhibit F'!D109+'Exhibit G State'!D93</f>
        <v>4899.5999999999995</v>
      </c>
      <c r="D117" s="194"/>
      <c r="E117" s="194">
        <f>+'Exhibit F'!F109+'Exhibit G State'!F93</f>
        <v>4177.4999999999991</v>
      </c>
      <c r="F117" s="194"/>
      <c r="G117" s="194">
        <f>+'Exhibit F'!H109+'Exhibit G State'!H93</f>
        <v>2062.4000000000015</v>
      </c>
      <c r="H117" s="194"/>
      <c r="I117" s="194"/>
      <c r="J117" s="194"/>
      <c r="K117" s="194"/>
      <c r="L117" s="194"/>
      <c r="M117" s="194"/>
      <c r="N117" s="194"/>
      <c r="O117" s="194"/>
      <c r="P117" s="194"/>
      <c r="Q117" s="194"/>
      <c r="R117" s="194"/>
      <c r="S117" s="194"/>
      <c r="T117" s="194"/>
      <c r="U117" s="194"/>
      <c r="V117" s="194"/>
      <c r="W117" s="194"/>
      <c r="X117" s="194"/>
      <c r="Y117" s="194"/>
      <c r="Z117" s="194"/>
      <c r="AA117" s="195"/>
      <c r="AB117" s="264">
        <f t="shared" si="23"/>
        <v>11139.5</v>
      </c>
      <c r="AC117" s="194"/>
      <c r="AD117" s="861"/>
      <c r="AE117" s="264">
        <f>+'Exhibit F'!AF109+'Exhibit G State'!AF93</f>
        <v>10561.8</v>
      </c>
      <c r="AF117" s="194"/>
      <c r="AG117" s="1538"/>
      <c r="AH117" s="194">
        <f t="shared" si="24"/>
        <v>577.70000000000005</v>
      </c>
      <c r="AI117" s="62"/>
      <c r="AJ117" s="283">
        <f t="shared" ref="AJ117:AJ123" si="25">ROUND(SUM(AH117/ABS(AE117)),3)</f>
        <v>5.5E-2</v>
      </c>
    </row>
    <row r="118" spans="1:37" ht="15">
      <c r="A118" s="752" t="s">
        <v>129</v>
      </c>
      <c r="B118" s="62"/>
      <c r="C118" s="194">
        <f>+'Exhibit F'!D110+'Exhibit G State'!D94</f>
        <v>193.7</v>
      </c>
      <c r="D118" s="194"/>
      <c r="E118" s="194">
        <f>+'Exhibit F'!F110+'Exhibit G State'!F94</f>
        <v>251.79999999999998</v>
      </c>
      <c r="F118" s="194"/>
      <c r="G118" s="194">
        <f>+'Exhibit F'!H110+'Exhibit G State'!H94</f>
        <v>830.5</v>
      </c>
      <c r="H118" s="194"/>
      <c r="I118" s="194"/>
      <c r="J118" s="194"/>
      <c r="K118" s="194"/>
      <c r="L118" s="194"/>
      <c r="M118" s="194"/>
      <c r="N118" s="194"/>
      <c r="O118" s="194"/>
      <c r="P118" s="194"/>
      <c r="Q118" s="194"/>
      <c r="R118" s="194"/>
      <c r="S118" s="194"/>
      <c r="T118" s="194"/>
      <c r="U118" s="194"/>
      <c r="V118" s="194"/>
      <c r="W118" s="194"/>
      <c r="X118" s="194"/>
      <c r="Y118" s="194"/>
      <c r="Z118" s="194"/>
      <c r="AA118" s="195"/>
      <c r="AB118" s="264">
        <f t="shared" si="23"/>
        <v>1276</v>
      </c>
      <c r="AC118" s="1213"/>
      <c r="AD118" s="194"/>
      <c r="AE118" s="264">
        <f>+'Exhibit F'!AF110+'Exhibit G State'!AF94</f>
        <v>1413.4</v>
      </c>
      <c r="AF118" s="194"/>
      <c r="AG118" s="1538"/>
      <c r="AH118" s="194">
        <f t="shared" si="24"/>
        <v>-137.4</v>
      </c>
      <c r="AI118" s="62"/>
      <c r="AJ118" s="283">
        <f t="shared" si="25"/>
        <v>-9.7000000000000003E-2</v>
      </c>
    </row>
    <row r="119" spans="1:37" ht="15">
      <c r="A119" s="752" t="s">
        <v>130</v>
      </c>
      <c r="B119" s="62"/>
      <c r="C119" s="194">
        <f>+'Exhibit F'!D111+'Exhibit G State'!D95</f>
        <v>104.2</v>
      </c>
      <c r="D119" s="194"/>
      <c r="E119" s="194">
        <f>+'Exhibit F'!F111+'Exhibit G State'!F95</f>
        <v>75</v>
      </c>
      <c r="F119" s="194"/>
      <c r="G119" s="194">
        <f>+'Exhibit F'!H111+'Exhibit G State'!H95</f>
        <v>82.9</v>
      </c>
      <c r="H119" s="194"/>
      <c r="I119" s="194"/>
      <c r="J119" s="194"/>
      <c r="K119" s="194"/>
      <c r="L119" s="194"/>
      <c r="M119" s="194"/>
      <c r="N119" s="194"/>
      <c r="O119" s="194"/>
      <c r="P119" s="194"/>
      <c r="Q119" s="194"/>
      <c r="R119" s="194"/>
      <c r="S119" s="194"/>
      <c r="T119" s="194"/>
      <c r="U119" s="194"/>
      <c r="V119" s="194"/>
      <c r="W119" s="194"/>
      <c r="X119" s="194"/>
      <c r="Y119" s="194"/>
      <c r="Z119" s="194"/>
      <c r="AA119" s="195"/>
      <c r="AB119" s="264">
        <f t="shared" si="23"/>
        <v>262.10000000000002</v>
      </c>
      <c r="AC119" s="1229"/>
      <c r="AD119" s="861"/>
      <c r="AE119" s="264">
        <f>+'Exhibit F'!AF111+'Exhibit G State'!AF95</f>
        <v>186.8</v>
      </c>
      <c r="AF119" s="194"/>
      <c r="AG119" s="1538"/>
      <c r="AH119" s="194">
        <f t="shared" si="24"/>
        <v>75.3</v>
      </c>
      <c r="AI119" s="62"/>
      <c r="AJ119" s="283">
        <f t="shared" si="25"/>
        <v>0.40300000000000002</v>
      </c>
    </row>
    <row r="120" spans="1:37" ht="15">
      <c r="A120" s="752" t="s">
        <v>131</v>
      </c>
      <c r="B120" s="62"/>
      <c r="C120" s="194">
        <f>+'Exhibit F'!D112+'Exhibit G State'!D96</f>
        <v>211.6</v>
      </c>
      <c r="D120" s="194"/>
      <c r="E120" s="194">
        <f>+'Exhibit F'!F112+'Exhibit G State'!F96</f>
        <v>183.2</v>
      </c>
      <c r="F120" s="194"/>
      <c r="G120" s="194">
        <f>+'Exhibit F'!H112+'Exhibit G State'!H96</f>
        <v>536.79999999999995</v>
      </c>
      <c r="H120" s="194"/>
      <c r="I120" s="194"/>
      <c r="J120" s="194"/>
      <c r="K120" s="194"/>
      <c r="L120" s="194"/>
      <c r="M120" s="194"/>
      <c r="N120" s="194"/>
      <c r="O120" s="194"/>
      <c r="P120" s="194"/>
      <c r="Q120" s="194"/>
      <c r="R120" s="194"/>
      <c r="S120" s="194"/>
      <c r="T120" s="194"/>
      <c r="U120" s="194"/>
      <c r="V120" s="194"/>
      <c r="W120" s="194"/>
      <c r="X120" s="194"/>
      <c r="Y120" s="194"/>
      <c r="Z120" s="194"/>
      <c r="AA120" s="195"/>
      <c r="AB120" s="264">
        <f t="shared" si="23"/>
        <v>931.6</v>
      </c>
      <c r="AC120" s="1229"/>
      <c r="AD120" s="861"/>
      <c r="AE120" s="264">
        <f>+'Exhibit F'!AF112+'Exhibit G State'!AF96</f>
        <v>757.5</v>
      </c>
      <c r="AF120" s="194"/>
      <c r="AG120" s="1538"/>
      <c r="AH120" s="194">
        <f t="shared" si="24"/>
        <v>174.1</v>
      </c>
      <c r="AI120" s="62"/>
      <c r="AJ120" s="283">
        <f t="shared" si="25"/>
        <v>0.23</v>
      </c>
    </row>
    <row r="121" spans="1:37" ht="15">
      <c r="A121" s="752" t="s">
        <v>132</v>
      </c>
      <c r="B121" s="62"/>
      <c r="C121" s="194">
        <f>+'Exhibit F'!D113+'Exhibit G State'!D97</f>
        <v>21.7</v>
      </c>
      <c r="D121" s="194"/>
      <c r="E121" s="194">
        <f>+'Exhibit F'!F113+'Exhibit G State'!F97</f>
        <v>23.4</v>
      </c>
      <c r="F121" s="194"/>
      <c r="G121" s="194">
        <f>+'Exhibit F'!H113+'Exhibit G State'!H97</f>
        <v>28.700000000000003</v>
      </c>
      <c r="H121" s="194"/>
      <c r="I121" s="194"/>
      <c r="J121" s="194"/>
      <c r="K121" s="194"/>
      <c r="L121" s="194"/>
      <c r="M121" s="194"/>
      <c r="N121" s="194"/>
      <c r="O121" s="194"/>
      <c r="P121" s="194"/>
      <c r="Q121" s="194"/>
      <c r="R121" s="194"/>
      <c r="S121" s="194"/>
      <c r="T121" s="194"/>
      <c r="U121" s="194"/>
      <c r="V121" s="194"/>
      <c r="W121" s="194"/>
      <c r="X121" s="194"/>
      <c r="Y121" s="194"/>
      <c r="Z121" s="194"/>
      <c r="AA121" s="195"/>
      <c r="AB121" s="264">
        <f t="shared" si="23"/>
        <v>73.8</v>
      </c>
      <c r="AC121" s="1229"/>
      <c r="AD121" s="861"/>
      <c r="AE121" s="264">
        <f>+'Exhibit F'!AF113+'Exhibit G State'!AF97</f>
        <v>67.400000000000006</v>
      </c>
      <c r="AF121" s="194"/>
      <c r="AG121" s="1538"/>
      <c r="AH121" s="194">
        <f t="shared" si="24"/>
        <v>6.4</v>
      </c>
      <c r="AI121" s="62"/>
      <c r="AJ121" s="283">
        <f t="shared" si="25"/>
        <v>9.5000000000000001E-2</v>
      </c>
    </row>
    <row r="122" spans="1:37" ht="15">
      <c r="A122" s="752" t="s">
        <v>133</v>
      </c>
      <c r="B122" s="62"/>
      <c r="C122" s="194">
        <f>+'Exhibit F'!D114+'Exhibit G State'!D98</f>
        <v>84.4</v>
      </c>
      <c r="D122" s="194"/>
      <c r="E122" s="194">
        <f>+'Exhibit F'!F114+'Exhibit G State'!F98</f>
        <v>677.3</v>
      </c>
      <c r="F122" s="194"/>
      <c r="G122" s="194">
        <f>+'Exhibit F'!H114+'Exhibit G State'!H98</f>
        <v>443.40000000000003</v>
      </c>
      <c r="H122" s="194"/>
      <c r="I122" s="194"/>
      <c r="J122" s="194"/>
      <c r="K122" s="194"/>
      <c r="L122" s="194"/>
      <c r="M122" s="194"/>
      <c r="N122" s="194"/>
      <c r="O122" s="194"/>
      <c r="P122" s="194"/>
      <c r="Q122" s="194"/>
      <c r="R122" s="194"/>
      <c r="S122" s="194"/>
      <c r="T122" s="194"/>
      <c r="U122" s="194"/>
      <c r="V122" s="194"/>
      <c r="W122" s="194"/>
      <c r="X122" s="194"/>
      <c r="Y122" s="194"/>
      <c r="Z122" s="194"/>
      <c r="AA122" s="195"/>
      <c r="AB122" s="194">
        <f>ROUND(SUM(C122:Y122),1)</f>
        <v>1205.0999999999999</v>
      </c>
      <c r="AC122" s="1229"/>
      <c r="AD122" s="861"/>
      <c r="AE122" s="264">
        <f>+'Exhibit F'!AF114+'Exhibit G State'!AF98</f>
        <v>1178.5</v>
      </c>
      <c r="AF122" s="194"/>
      <c r="AG122" s="1538"/>
      <c r="AH122" s="194">
        <f>ROUND(SUM(AB122-AE122),1)</f>
        <v>26.6</v>
      </c>
      <c r="AI122" s="62"/>
      <c r="AJ122" s="283">
        <f t="shared" si="25"/>
        <v>2.3E-2</v>
      </c>
    </row>
    <row r="123" spans="1:37" ht="15.75">
      <c r="A123" s="62" t="s">
        <v>134</v>
      </c>
      <c r="B123" s="62"/>
      <c r="C123" s="1020">
        <f>ROUND(SUM(C113:C122),1)</f>
        <v>8089.6</v>
      </c>
      <c r="D123" s="197"/>
      <c r="E123" s="1020">
        <f>ROUND(SUM(E113:E122),1)</f>
        <v>11360.7</v>
      </c>
      <c r="F123" s="197"/>
      <c r="G123" s="1020">
        <f>ROUND(SUM(G113:G122),1)</f>
        <v>7804.6</v>
      </c>
      <c r="H123" s="197"/>
      <c r="I123" s="1020">
        <f>ROUND(SUM(I113:I122),1)</f>
        <v>0</v>
      </c>
      <c r="J123" s="197"/>
      <c r="K123" s="1020">
        <f>ROUND(SUM(K113:K122),1)</f>
        <v>0</v>
      </c>
      <c r="L123" s="197"/>
      <c r="M123" s="1020">
        <f>ROUND(SUM(M113:M122),1)</f>
        <v>0</v>
      </c>
      <c r="N123" s="197"/>
      <c r="O123" s="1020">
        <f>ROUND(SUM(O113:O122),1)</f>
        <v>0</v>
      </c>
      <c r="P123" s="197"/>
      <c r="Q123" s="1020">
        <f>ROUND(SUM(Q113:Q122),1)</f>
        <v>0</v>
      </c>
      <c r="R123" s="197"/>
      <c r="S123" s="1020">
        <f>ROUND(SUM(S113:S122),1)</f>
        <v>0</v>
      </c>
      <c r="T123" s="197"/>
      <c r="U123" s="1020">
        <f>ROUND(SUM(U113:U122),1)</f>
        <v>0</v>
      </c>
      <c r="V123" s="197"/>
      <c r="W123" s="1020">
        <f>ROUND(SUM(W113:W122),1)</f>
        <v>0</v>
      </c>
      <c r="X123" s="197"/>
      <c r="Y123" s="1020">
        <f>ROUND(SUM(Y113:Y122),1)</f>
        <v>0</v>
      </c>
      <c r="Z123" s="197"/>
      <c r="AA123" s="1106"/>
      <c r="AB123" s="1020">
        <f>ROUND(SUM(AB113:AB122),1)</f>
        <v>27254.9</v>
      </c>
      <c r="AC123" s="1230"/>
      <c r="AD123" s="864"/>
      <c r="AE123" s="68">
        <f>ROUND(SUM(AE113:AE122),1)</f>
        <v>25421</v>
      </c>
      <c r="AF123" s="197"/>
      <c r="AG123" s="1539"/>
      <c r="AH123" s="68">
        <f>ROUND(SUM(AH113:AH122),1)</f>
        <v>1833.9</v>
      </c>
      <c r="AI123" s="187"/>
      <c r="AJ123" s="416">
        <f t="shared" si="25"/>
        <v>7.1999999999999995E-2</v>
      </c>
      <c r="AK123" s="129"/>
    </row>
    <row r="124" spans="1:37" ht="15">
      <c r="A124" s="62" t="s">
        <v>135</v>
      </c>
      <c r="B124" s="62"/>
      <c r="C124" s="194"/>
      <c r="D124" s="194"/>
      <c r="E124" s="194"/>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5"/>
      <c r="AB124" s="194"/>
      <c r="AC124" s="194"/>
      <c r="AD124" s="861"/>
      <c r="AE124" s="264"/>
      <c r="AF124" s="194"/>
      <c r="AG124" s="1538"/>
      <c r="AH124" s="264"/>
      <c r="AI124" s="62"/>
      <c r="AJ124" s="268"/>
    </row>
    <row r="125" spans="1:37" ht="15">
      <c r="A125" s="62" t="s">
        <v>429</v>
      </c>
      <c r="B125" s="62"/>
      <c r="C125" s="194">
        <f>+'Exhibit F'!D117+'Exhibit G State'!D101</f>
        <v>1768.6</v>
      </c>
      <c r="D125" s="194"/>
      <c r="E125" s="194">
        <f>+'Exhibit F'!F117+'Exhibit G State'!F101</f>
        <v>1426.0000000000002</v>
      </c>
      <c r="F125" s="194"/>
      <c r="G125" s="194">
        <f>+'Exhibit F'!H117+'Exhibit G State'!H101</f>
        <v>1391.3000000000002</v>
      </c>
      <c r="H125" s="194"/>
      <c r="I125" s="194"/>
      <c r="J125" s="194"/>
      <c r="K125" s="194"/>
      <c r="L125" s="194"/>
      <c r="M125" s="194"/>
      <c r="N125" s="194"/>
      <c r="O125" s="194"/>
      <c r="P125" s="194"/>
      <c r="Q125" s="194"/>
      <c r="R125" s="194"/>
      <c r="S125" s="194"/>
      <c r="T125" s="194"/>
      <c r="U125" s="194"/>
      <c r="V125" s="194"/>
      <c r="W125" s="194"/>
      <c r="X125" s="194"/>
      <c r="Y125" s="194"/>
      <c r="Z125" s="194"/>
      <c r="AA125" s="195"/>
      <c r="AB125" s="194">
        <f>ROUND(SUM(C125:Y125),1)</f>
        <v>4585.8999999999996</v>
      </c>
      <c r="AC125" s="194"/>
      <c r="AD125" s="861"/>
      <c r="AE125" s="264">
        <f>+'Exhibit F'!AF117+'Exhibit G State'!AF101</f>
        <v>4463</v>
      </c>
      <c r="AF125" s="194"/>
      <c r="AG125" s="1538"/>
      <c r="AH125" s="194">
        <f>ROUND(SUM(AB125-AE125),1)</f>
        <v>122.9</v>
      </c>
      <c r="AI125" s="62"/>
      <c r="AJ125" s="283">
        <f>ROUND(SUM(AH125/ABS(AE125)),3)</f>
        <v>2.8000000000000001E-2</v>
      </c>
    </row>
    <row r="126" spans="1:37" ht="15">
      <c r="A126" s="62" t="s">
        <v>430</v>
      </c>
      <c r="B126" s="62"/>
      <c r="C126" s="194">
        <f>+'Exhibit F'!D118+'Exhibit G State'!D102+'Exhibit H'!B59</f>
        <v>538.70000000000005</v>
      </c>
      <c r="D126" s="194"/>
      <c r="E126" s="194">
        <f>+'Exhibit F'!F118+'Exhibit G State'!F102+'Exhibit H'!D59</f>
        <v>466.2</v>
      </c>
      <c r="F126" s="194"/>
      <c r="G126" s="194">
        <f>+'Exhibit F'!H118+'Exhibit G State'!H102+'Exhibit H'!F59</f>
        <v>765.3</v>
      </c>
      <c r="H126" s="194"/>
      <c r="I126" s="194"/>
      <c r="J126" s="194"/>
      <c r="K126" s="194"/>
      <c r="L126" s="194"/>
      <c r="M126" s="194"/>
      <c r="N126" s="194"/>
      <c r="O126" s="194"/>
      <c r="P126" s="194"/>
      <c r="Q126" s="194"/>
      <c r="R126" s="194"/>
      <c r="S126" s="194"/>
      <c r="T126" s="194"/>
      <c r="U126" s="194"/>
      <c r="V126" s="194"/>
      <c r="W126" s="194"/>
      <c r="X126" s="194"/>
      <c r="Y126" s="194"/>
      <c r="Z126" s="194"/>
      <c r="AA126" s="195"/>
      <c r="AB126" s="194">
        <f>ROUND(SUM(C126:Y126),1)</f>
        <v>1770.2</v>
      </c>
      <c r="AC126" s="194"/>
      <c r="AD126" s="861"/>
      <c r="AE126" s="264">
        <f>+'Exhibit F'!AF118+'Exhibit G State'!AF102+'Exhibit H'!AD59</f>
        <v>1623.6999999999998</v>
      </c>
      <c r="AF126" s="194"/>
      <c r="AG126" s="1538"/>
      <c r="AH126" s="194">
        <f>ROUND(SUM(AB126-AE126),1)</f>
        <v>146.5</v>
      </c>
      <c r="AI126" s="62"/>
      <c r="AJ126" s="283">
        <f>ROUND(SUM(AH126/ABS(AE126)),3)</f>
        <v>0.09</v>
      </c>
    </row>
    <row r="127" spans="1:37" ht="15">
      <c r="A127" s="62" t="s">
        <v>138</v>
      </c>
      <c r="B127" s="62"/>
      <c r="C127" s="194">
        <f>+'Exhibit F'!D119+'Exhibit G State'!D103</f>
        <v>817.8</v>
      </c>
      <c r="D127" s="194"/>
      <c r="E127" s="194">
        <f>+'Exhibit F'!F119+'Exhibit G State'!F103</f>
        <v>737.50000000000011</v>
      </c>
      <c r="F127" s="194"/>
      <c r="G127" s="194">
        <f>+'Exhibit F'!H119+'Exhibit G State'!H103</f>
        <v>1112.7</v>
      </c>
      <c r="H127" s="194"/>
      <c r="I127" s="194"/>
      <c r="J127" s="194"/>
      <c r="K127" s="194"/>
      <c r="L127" s="194"/>
      <c r="M127" s="194"/>
      <c r="N127" s="194"/>
      <c r="O127" s="194"/>
      <c r="P127" s="194"/>
      <c r="Q127" s="194"/>
      <c r="R127" s="194"/>
      <c r="S127" s="194"/>
      <c r="T127" s="194"/>
      <c r="U127" s="194"/>
      <c r="V127" s="194"/>
      <c r="W127" s="194"/>
      <c r="X127" s="194"/>
      <c r="Y127" s="194"/>
      <c r="Z127" s="194"/>
      <c r="AA127" s="195"/>
      <c r="AB127" s="194">
        <f>ROUND(SUM(C127:Y127),1)</f>
        <v>2668</v>
      </c>
      <c r="AC127" s="194"/>
      <c r="AD127" s="861"/>
      <c r="AE127" s="264">
        <f>+'Exhibit F'!AF119+'Exhibit G State'!AF103</f>
        <v>2373.4</v>
      </c>
      <c r="AF127" s="194"/>
      <c r="AG127" s="1538"/>
      <c r="AH127" s="194">
        <f>ROUND(SUM(AB127-AE127),1)</f>
        <v>294.60000000000002</v>
      </c>
      <c r="AI127" s="62"/>
      <c r="AJ127" s="283">
        <f>ROUND(SUM(AH127/ABS(AE127)),3)</f>
        <v>0.124</v>
      </c>
    </row>
    <row r="128" spans="1:37" ht="15">
      <c r="A128" s="62" t="s">
        <v>139</v>
      </c>
      <c r="B128" s="62"/>
      <c r="C128" s="194"/>
      <c r="D128" s="194"/>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5"/>
      <c r="AB128" s="194"/>
      <c r="AC128" s="194"/>
      <c r="AD128" s="861"/>
      <c r="AE128" s="194"/>
      <c r="AF128" s="194"/>
      <c r="AG128" s="1538"/>
      <c r="AH128" s="194"/>
      <c r="AI128" s="62"/>
      <c r="AJ128" s="283"/>
    </row>
    <row r="129" spans="1:37" ht="15">
      <c r="A129" s="62" t="s">
        <v>1457</v>
      </c>
      <c r="B129" s="62"/>
      <c r="C129" s="194">
        <f>+'Exhibit H'!B61</f>
        <v>1.5</v>
      </c>
      <c r="D129" s="194"/>
      <c r="E129" s="194">
        <f>+'Exhibit H'!D61</f>
        <v>6</v>
      </c>
      <c r="F129" s="194"/>
      <c r="G129" s="194">
        <f>+'Exhibit H'!F61</f>
        <v>7.5</v>
      </c>
      <c r="H129" s="194"/>
      <c r="I129" s="194"/>
      <c r="J129" s="194"/>
      <c r="K129" s="194"/>
      <c r="L129" s="194"/>
      <c r="M129" s="194"/>
      <c r="N129" s="194"/>
      <c r="O129" s="194"/>
      <c r="P129" s="194"/>
      <c r="Q129" s="194"/>
      <c r="R129" s="194"/>
      <c r="S129" s="194"/>
      <c r="T129" s="194"/>
      <c r="U129" s="194"/>
      <c r="V129" s="194"/>
      <c r="W129" s="194"/>
      <c r="X129" s="194"/>
      <c r="Y129" s="194"/>
      <c r="Z129" s="194"/>
      <c r="AA129" s="195"/>
      <c r="AB129" s="194">
        <f>ROUND(SUM(C129:Y129),1)</f>
        <v>15</v>
      </c>
      <c r="AC129" s="194"/>
      <c r="AD129" s="861"/>
      <c r="AE129" s="264">
        <f>+'Exhibit H'!AD61</f>
        <v>27.7</v>
      </c>
      <c r="AF129" s="194"/>
      <c r="AG129" s="1538"/>
      <c r="AH129" s="194">
        <f>ROUND(SUM(AB129-AE129),1)</f>
        <v>-12.7</v>
      </c>
      <c r="AI129" s="62"/>
      <c r="AJ129" s="283">
        <f>ROUND(SUM(AH129/ABS(AE129)),3)</f>
        <v>-0.45800000000000002</v>
      </c>
    </row>
    <row r="130" spans="1:37" ht="15">
      <c r="A130" s="62" t="s">
        <v>432</v>
      </c>
      <c r="B130" s="62"/>
      <c r="C130" s="194">
        <f>'Exhibit G State'!D104</f>
        <v>0</v>
      </c>
      <c r="D130" s="194"/>
      <c r="E130" s="194">
        <f>'Exhibit G State'!F104</f>
        <v>0</v>
      </c>
      <c r="F130" s="194"/>
      <c r="G130" s="194">
        <f>'Exhibit G State'!H104</f>
        <v>0</v>
      </c>
      <c r="H130" s="194"/>
      <c r="I130" s="194"/>
      <c r="J130" s="194"/>
      <c r="K130" s="194"/>
      <c r="L130" s="194"/>
      <c r="M130" s="194"/>
      <c r="N130" s="194"/>
      <c r="O130" s="194"/>
      <c r="P130" s="194"/>
      <c r="Q130" s="194"/>
      <c r="R130" s="194"/>
      <c r="S130" s="194"/>
      <c r="T130" s="194"/>
      <c r="U130" s="194"/>
      <c r="V130" s="194"/>
      <c r="W130" s="194"/>
      <c r="X130" s="194"/>
      <c r="Y130" s="194"/>
      <c r="Z130" s="194"/>
      <c r="AA130" s="195"/>
      <c r="AB130" s="194">
        <f>ROUND(SUM(C130:Y130),1)</f>
        <v>0</v>
      </c>
      <c r="AC130" s="194"/>
      <c r="AD130" s="861"/>
      <c r="AE130" s="264">
        <f>+'Exhibit G'!AH106</f>
        <v>0</v>
      </c>
      <c r="AF130" s="194"/>
      <c r="AG130" s="1538"/>
      <c r="AH130" s="194">
        <f>ROUND(SUM(AB130-AE130),1)</f>
        <v>0</v>
      </c>
      <c r="AI130" s="62"/>
      <c r="AJ130" s="266">
        <f>ROUND(IF(AE130=0,0,AH130/ABS(AE130)),3)</f>
        <v>0</v>
      </c>
    </row>
    <row r="131" spans="1:37" ht="16.5" customHeight="1">
      <c r="A131" s="62"/>
      <c r="B131" s="62"/>
      <c r="C131" s="896"/>
      <c r="D131" s="194"/>
      <c r="E131" s="896"/>
      <c r="F131" s="194"/>
      <c r="G131" s="896"/>
      <c r="H131" s="194"/>
      <c r="I131" s="896"/>
      <c r="J131" s="194"/>
      <c r="K131" s="896"/>
      <c r="L131" s="194"/>
      <c r="M131" s="896"/>
      <c r="N131" s="194"/>
      <c r="O131" s="896"/>
      <c r="P131" s="194"/>
      <c r="Q131" s="896"/>
      <c r="R131" s="194"/>
      <c r="S131" s="896"/>
      <c r="T131" s="194"/>
      <c r="U131" s="896"/>
      <c r="V131" s="194"/>
      <c r="W131" s="896"/>
      <c r="X131" s="194"/>
      <c r="Y131" s="896"/>
      <c r="Z131" s="194"/>
      <c r="AA131" s="195"/>
      <c r="AB131" s="896"/>
      <c r="AC131" s="194"/>
      <c r="AD131" s="861"/>
      <c r="AE131" s="896"/>
      <c r="AF131" s="194"/>
      <c r="AG131" s="1538"/>
      <c r="AH131" s="896"/>
      <c r="AI131" s="62"/>
      <c r="AJ131" s="897"/>
    </row>
    <row r="132" spans="1:37" ht="16.5" customHeight="1">
      <c r="A132" s="40" t="s">
        <v>162</v>
      </c>
      <c r="B132" s="62"/>
      <c r="C132" s="754">
        <f>ROUND(SUM(C123:C130),1)</f>
        <v>11216.2</v>
      </c>
      <c r="D132" s="197"/>
      <c r="E132" s="754">
        <f>ROUND(SUM(E123:E130),1)</f>
        <v>13996.4</v>
      </c>
      <c r="F132" s="197"/>
      <c r="G132" s="754">
        <f>ROUND(SUM(G123:G130),1)</f>
        <v>11081.4</v>
      </c>
      <c r="H132" s="197"/>
      <c r="I132" s="754">
        <f>ROUND(SUM(I123:I130),1)</f>
        <v>0</v>
      </c>
      <c r="J132" s="197"/>
      <c r="K132" s="754">
        <f>ROUND(SUM(K123:K130),1)</f>
        <v>0</v>
      </c>
      <c r="L132" s="197"/>
      <c r="M132" s="754">
        <f>ROUND(SUM(M123:M130),1)</f>
        <v>0</v>
      </c>
      <c r="N132" s="197"/>
      <c r="O132" s="754">
        <f>ROUND(SUM(O123:O130),1)</f>
        <v>0</v>
      </c>
      <c r="P132" s="197"/>
      <c r="Q132" s="754">
        <f>ROUND(SUM(Q123:Q130),1)</f>
        <v>0</v>
      </c>
      <c r="R132" s="197"/>
      <c r="S132" s="754">
        <f>ROUND(SUM(S123:S130),1)</f>
        <v>0</v>
      </c>
      <c r="T132" s="197"/>
      <c r="U132" s="754">
        <f>ROUND(SUM(U123:U130),1)</f>
        <v>0</v>
      </c>
      <c r="V132" s="197"/>
      <c r="W132" s="754">
        <f>ROUND(SUM(W123:W130),1)</f>
        <v>0</v>
      </c>
      <c r="X132" s="197"/>
      <c r="Y132" s="754">
        <f>ROUND(SUM(Y123:Y130),1)</f>
        <v>0</v>
      </c>
      <c r="Z132" s="197"/>
      <c r="AA132" s="1106"/>
      <c r="AB132" s="754">
        <f>ROUND(SUM(AB123:AB130),1)</f>
        <v>36294</v>
      </c>
      <c r="AC132" s="197"/>
      <c r="AD132" s="864"/>
      <c r="AE132" s="357">
        <f>ROUND(SUM(AE123:AE131),1)</f>
        <v>33908.800000000003</v>
      </c>
      <c r="AF132" s="197"/>
      <c r="AG132" s="1539"/>
      <c r="AH132" s="357">
        <f>ROUND(SUM(AH123:AH131),1)</f>
        <v>2385.1999999999998</v>
      </c>
      <c r="AI132" s="187"/>
      <c r="AJ132" s="368">
        <f>ROUND(SUM(AH132/ABS(AE132)),3)</f>
        <v>7.0000000000000007E-2</v>
      </c>
      <c r="AK132" s="129"/>
    </row>
    <row r="133" spans="1:37" ht="16.5" customHeight="1">
      <c r="A133" s="40"/>
      <c r="B133" s="62"/>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5"/>
      <c r="AB133" s="194"/>
      <c r="AC133" s="194"/>
      <c r="AD133" s="861"/>
      <c r="AE133" s="194"/>
      <c r="AF133" s="194"/>
      <c r="AG133" s="1538"/>
      <c r="AH133" s="264"/>
      <c r="AI133" s="62"/>
      <c r="AJ133" s="268"/>
    </row>
    <row r="134" spans="1:37" ht="16.5" customHeight="1">
      <c r="A134" s="40" t="s">
        <v>143</v>
      </c>
      <c r="B134" s="62"/>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5"/>
      <c r="AB134" s="194"/>
      <c r="AC134" s="194"/>
      <c r="AD134" s="861"/>
      <c r="AE134" s="194"/>
      <c r="AF134" s="194"/>
      <c r="AG134" s="1538"/>
      <c r="AH134" s="264"/>
      <c r="AI134" s="62"/>
      <c r="AJ134" s="268"/>
    </row>
    <row r="135" spans="1:37" ht="16.5" customHeight="1">
      <c r="A135" s="40" t="s">
        <v>144</v>
      </c>
      <c r="B135" s="62"/>
      <c r="C135" s="754">
        <f>ROUND(SUM(C109-C132),1)</f>
        <v>5341.3</v>
      </c>
      <c r="D135" s="197"/>
      <c r="E135" s="754">
        <f>ROUND(SUM(E109-E132),1)</f>
        <v>-4218.8999999999996</v>
      </c>
      <c r="F135" s="197"/>
      <c r="G135" s="754">
        <f>ROUND(SUM(G109-G132),1)</f>
        <v>7792.1</v>
      </c>
      <c r="H135" s="197"/>
      <c r="I135" s="754">
        <f>ROUND(SUM(I109-I132),1)</f>
        <v>0</v>
      </c>
      <c r="J135" s="197"/>
      <c r="K135" s="754">
        <f>ROUND(SUM(K109-K132),1)</f>
        <v>0</v>
      </c>
      <c r="L135" s="197"/>
      <c r="M135" s="754">
        <f>ROUND(SUM(M109-M132),1)</f>
        <v>0</v>
      </c>
      <c r="N135" s="197"/>
      <c r="O135" s="754">
        <f>ROUND(SUM(O109-O132),1)</f>
        <v>0</v>
      </c>
      <c r="P135" s="197"/>
      <c r="Q135" s="754">
        <f>ROUND(SUM(Q109-Q132),1)</f>
        <v>0</v>
      </c>
      <c r="R135" s="197"/>
      <c r="S135" s="754">
        <f>ROUND(SUM(S109-S132),1)</f>
        <v>0</v>
      </c>
      <c r="T135" s="197"/>
      <c r="U135" s="754">
        <f>ROUND(SUM(U109-U132),1)</f>
        <v>0</v>
      </c>
      <c r="V135" s="197"/>
      <c r="W135" s="754">
        <f>ROUND(SUM(W109-W132),1)</f>
        <v>0</v>
      </c>
      <c r="X135" s="197"/>
      <c r="Y135" s="754">
        <f>ROUND(SUM(Y109-Y132),1)</f>
        <v>0</v>
      </c>
      <c r="Z135" s="197"/>
      <c r="AA135" s="1106"/>
      <c r="AB135" s="754">
        <f>ROUND(SUM(AB109-AB132),1)</f>
        <v>8914.5</v>
      </c>
      <c r="AC135" s="197"/>
      <c r="AD135" s="864"/>
      <c r="AE135" s="754">
        <f>ROUND(SUM(AE109-AE132),1)</f>
        <v>5862.6</v>
      </c>
      <c r="AF135" s="197"/>
      <c r="AG135" s="1539"/>
      <c r="AH135" s="869">
        <f>ROUND(SUM(AB135-AE135),1)</f>
        <v>3051.9</v>
      </c>
      <c r="AI135" s="187"/>
      <c r="AJ135" s="611">
        <f>ROUND(SUM(AH135/ABS(AE135)),3)</f>
        <v>0.52100000000000002</v>
      </c>
      <c r="AK135" s="129"/>
    </row>
    <row r="136" spans="1:37" ht="16.5" customHeight="1">
      <c r="A136" s="268"/>
      <c r="B136" s="62"/>
      <c r="C136" s="11"/>
      <c r="D136" s="194"/>
      <c r="E136" s="11"/>
      <c r="F136" s="194"/>
      <c r="G136" s="11"/>
      <c r="H136" s="194"/>
      <c r="I136" s="11"/>
      <c r="J136" s="194"/>
      <c r="K136" s="11"/>
      <c r="L136" s="194"/>
      <c r="M136" s="11"/>
      <c r="N136" s="194"/>
      <c r="O136" s="11"/>
      <c r="P136" s="194"/>
      <c r="Q136" s="11"/>
      <c r="R136" s="194"/>
      <c r="S136" s="11"/>
      <c r="T136" s="194"/>
      <c r="U136" s="11"/>
      <c r="V136" s="194"/>
      <c r="W136" s="11"/>
      <c r="X136" s="194"/>
      <c r="Y136" s="11"/>
      <c r="Z136" s="105"/>
      <c r="AA136" s="195"/>
      <c r="AB136" s="11"/>
      <c r="AC136" s="194"/>
      <c r="AD136" s="861"/>
      <c r="AE136" s="11"/>
      <c r="AF136" s="194"/>
      <c r="AG136" s="1538"/>
      <c r="AH136" s="264"/>
      <c r="AI136" s="62"/>
      <c r="AJ136" s="268"/>
    </row>
    <row r="137" spans="1:37" ht="16.5" customHeight="1">
      <c r="A137" s="40" t="s">
        <v>145</v>
      </c>
      <c r="B137" s="62"/>
      <c r="C137" s="194"/>
      <c r="D137" s="194"/>
      <c r="E137" s="194"/>
      <c r="F137" s="200"/>
      <c r="G137" s="194"/>
      <c r="H137" s="200"/>
      <c r="I137" s="200"/>
      <c r="J137" s="200"/>
      <c r="K137" s="200"/>
      <c r="L137" s="200"/>
      <c r="M137" s="200"/>
      <c r="N137" s="200"/>
      <c r="O137" s="200"/>
      <c r="P137" s="200"/>
      <c r="Q137" s="200"/>
      <c r="R137" s="200"/>
      <c r="S137" s="200"/>
      <c r="T137" s="200"/>
      <c r="U137" s="200"/>
      <c r="V137" s="194"/>
      <c r="W137" s="200"/>
      <c r="X137" s="194"/>
      <c r="Y137" s="200"/>
      <c r="Z137" s="1213"/>
      <c r="AA137" s="195"/>
      <c r="AB137" s="194"/>
      <c r="AC137" s="1213"/>
      <c r="AD137" s="194"/>
      <c r="AE137" s="194"/>
      <c r="AF137" s="194"/>
      <c r="AG137" s="1538"/>
      <c r="AH137" s="264"/>
      <c r="AI137" s="62"/>
      <c r="AJ137" s="268"/>
    </row>
    <row r="138" spans="1:37" ht="16.5" customHeight="1">
      <c r="A138" s="62" t="s">
        <v>277</v>
      </c>
      <c r="B138" s="62"/>
      <c r="C138" s="682">
        <f>+'Exhibit F'!D128+'Exhibit F'!D129+'Exhibit F'!D130+'Exhibit F'!D131+'Exhibit G State'!D112+'Exhibit H'!B69</f>
        <v>6844.8</v>
      </c>
      <c r="D138" s="682"/>
      <c r="E138" s="682">
        <f>+'Exhibit F'!F128+'Exhibit F'!F129+'Exhibit F'!F130+'Exhibit F'!F131+'Exhibit G State'!F112+'Exhibit H'!D69</f>
        <v>3578.3000000000006</v>
      </c>
      <c r="F138" s="682"/>
      <c r="G138" s="682">
        <f>+'Exhibit F'!H128+'Exhibit F'!H129+'Exhibit F'!H130+'Exhibit F'!H131+'Exhibit G State'!H112+'Exhibit H'!F69</f>
        <v>7838.8999999999987</v>
      </c>
      <c r="H138" s="194"/>
      <c r="I138" s="682"/>
      <c r="J138" s="194"/>
      <c r="K138" s="682"/>
      <c r="L138" s="194"/>
      <c r="M138" s="682"/>
      <c r="N138" s="194"/>
      <c r="O138" s="682"/>
      <c r="P138" s="194"/>
      <c r="Q138" s="682"/>
      <c r="R138" s="682"/>
      <c r="S138" s="682"/>
      <c r="T138" s="682"/>
      <c r="U138" s="682"/>
      <c r="V138" s="682"/>
      <c r="W138" s="682"/>
      <c r="X138" s="682"/>
      <c r="Y138" s="682"/>
      <c r="Z138" s="194"/>
      <c r="AA138" s="195"/>
      <c r="AB138" s="194">
        <f>ROUND(SUM(C138:Y138),1)</f>
        <v>18262</v>
      </c>
      <c r="AC138" s="194"/>
      <c r="AD138" s="195"/>
      <c r="AE138" s="194">
        <f>'Exhibit F'!AF128+'Exhibit F'!AF129+'Exhibit F'!AF130+'Exhibit F'!AF131+'Exhibit G State'!AF112+'Exhibit H'!AD69</f>
        <v>16878.8</v>
      </c>
      <c r="AF138" s="194"/>
      <c r="AG138" s="1538"/>
      <c r="AH138" s="194">
        <f>ROUND(SUM(AB138-AE138),1)</f>
        <v>1383.2</v>
      </c>
      <c r="AI138" s="62"/>
      <c r="AJ138" s="283">
        <f>ROUND(SUM(AH138/ABS(AE138)),3)</f>
        <v>8.2000000000000003E-2</v>
      </c>
    </row>
    <row r="139" spans="1:37" ht="16.5" customHeight="1">
      <c r="A139" s="62" t="s">
        <v>278</v>
      </c>
      <c r="C139" s="755">
        <f>+'Exhibit F'!D132+'Exhibit F'!D133+'Exhibit F'!D134+'Exhibit F'!D135+'Exhibit G State'!D113+'Exhibit H'!B70</f>
        <v>-7055.9</v>
      </c>
      <c r="D139" s="682"/>
      <c r="E139" s="755">
        <f>+'Exhibit F'!F132+'Exhibit F'!F133+'Exhibit F'!F134+'Exhibit F'!F135+'Exhibit G State'!F113+'Exhibit H'!D70</f>
        <v>-3944.2999999999997</v>
      </c>
      <c r="F139" s="682"/>
      <c r="G139" s="755">
        <f>+'Exhibit F'!H132+'Exhibit F'!H133+'Exhibit F'!H134+'Exhibit F'!H135+'Exhibit G State'!H113+'Exhibit H'!F70</f>
        <v>-6423.8000000000011</v>
      </c>
      <c r="H139" s="11"/>
      <c r="I139" s="755"/>
      <c r="J139" s="11"/>
      <c r="K139" s="755"/>
      <c r="L139" s="11"/>
      <c r="M139" s="755"/>
      <c r="N139" s="11"/>
      <c r="O139" s="755"/>
      <c r="P139" s="11"/>
      <c r="Q139" s="755"/>
      <c r="R139" s="682"/>
      <c r="S139" s="755"/>
      <c r="T139" s="682"/>
      <c r="U139" s="755"/>
      <c r="V139" s="682"/>
      <c r="W139" s="755"/>
      <c r="X139" s="682"/>
      <c r="Y139" s="755"/>
      <c r="Z139" s="11"/>
      <c r="AA139" s="201"/>
      <c r="AB139" s="196">
        <f>ROUND(SUM(C139:Y139),1)</f>
        <v>-17424</v>
      </c>
      <c r="AC139" s="11"/>
      <c r="AD139" s="201"/>
      <c r="AE139" s="196">
        <f>'Exhibit F'!AF132+'Exhibit F'!AF133+'Exhibit F'!AF134+'Exhibit F'!AF135+'Exhibit G State'!AF113+'Exhibit H'!AD70</f>
        <v>-23907.699999999997</v>
      </c>
      <c r="AF139" s="11"/>
      <c r="AG139" s="1540"/>
      <c r="AH139" s="196">
        <f>ROUND(SUM(-AB139+AE139),1)</f>
        <v>-6483.7</v>
      </c>
      <c r="AI139" s="268"/>
      <c r="AJ139" s="870">
        <f>ROUND(SUM(AH139/ABS(AE139)),3)</f>
        <v>-0.27100000000000002</v>
      </c>
    </row>
    <row r="140" spans="1:37" ht="16.5" customHeight="1">
      <c r="A140" s="62"/>
      <c r="C140" s="194"/>
      <c r="D140" s="11"/>
      <c r="E140" s="194"/>
      <c r="F140" s="11"/>
      <c r="G140" s="194"/>
      <c r="H140" s="11"/>
      <c r="I140" s="194"/>
      <c r="J140" s="11"/>
      <c r="K140" s="194"/>
      <c r="L140" s="11"/>
      <c r="M140" s="194"/>
      <c r="N140" s="11"/>
      <c r="O140" s="194"/>
      <c r="P140" s="11"/>
      <c r="Q140" s="194"/>
      <c r="R140" s="11"/>
      <c r="S140" s="194"/>
      <c r="T140" s="11"/>
      <c r="U140" s="194"/>
      <c r="V140" s="11"/>
      <c r="W140" s="194"/>
      <c r="X140" s="11"/>
      <c r="Y140" s="194"/>
      <c r="Z140" s="11"/>
      <c r="AA140" s="201"/>
      <c r="AB140" s="194"/>
      <c r="AC140" s="11"/>
      <c r="AD140" s="201"/>
      <c r="AE140" s="194"/>
      <c r="AF140" s="11"/>
      <c r="AG140" s="1540"/>
      <c r="AH140" s="194"/>
      <c r="AI140" s="268"/>
      <c r="AJ140" s="283"/>
    </row>
    <row r="141" spans="1:37" ht="16.5" customHeight="1">
      <c r="A141" s="40" t="s">
        <v>150</v>
      </c>
      <c r="C141" s="754">
        <f>ROUND(SUM(C138:C139),1)</f>
        <v>-211.1</v>
      </c>
      <c r="D141" s="202"/>
      <c r="E141" s="754">
        <f>ROUND(SUM(E138:E139),1)</f>
        <v>-366</v>
      </c>
      <c r="F141" s="202"/>
      <c r="G141" s="754">
        <f>ROUND(SUM(G138:G139),1)</f>
        <v>1415.1</v>
      </c>
      <c r="H141" s="202"/>
      <c r="I141" s="754">
        <f>ROUND(SUM(I138:I139),1)</f>
        <v>0</v>
      </c>
      <c r="J141" s="202"/>
      <c r="K141" s="754">
        <f>ROUND(SUM(K138:K139),1)</f>
        <v>0</v>
      </c>
      <c r="L141" s="202"/>
      <c r="M141" s="754">
        <f>ROUND(SUM(M138:M139),1)</f>
        <v>0</v>
      </c>
      <c r="N141" s="202"/>
      <c r="O141" s="754">
        <f>ROUND(SUM(O138:O139),1)</f>
        <v>0</v>
      </c>
      <c r="P141" s="202"/>
      <c r="Q141" s="754">
        <f>ROUND(SUM(Q138:Q139),1)</f>
        <v>0</v>
      </c>
      <c r="R141" s="202"/>
      <c r="S141" s="754">
        <f>ROUND(SUM(S138:S139),1)</f>
        <v>0</v>
      </c>
      <c r="T141" s="202"/>
      <c r="U141" s="754">
        <f>ROUND(SUM(U138:U139),1)</f>
        <v>0</v>
      </c>
      <c r="V141" s="202"/>
      <c r="W141" s="754">
        <f>ROUND(SUM(W138:W139),1)</f>
        <v>0</v>
      </c>
      <c r="X141" s="202"/>
      <c r="Y141" s="754">
        <f>ROUND(SUM(Y138:Y139),1)</f>
        <v>0</v>
      </c>
      <c r="Z141" s="202"/>
      <c r="AA141" s="203"/>
      <c r="AB141" s="754">
        <f>ROUND(SUM(AB138:AB139),1)</f>
        <v>838</v>
      </c>
      <c r="AC141" s="202"/>
      <c r="AD141" s="203"/>
      <c r="AE141" s="754">
        <f>ROUND(SUM(AE138:AE139),1)</f>
        <v>-7028.9</v>
      </c>
      <c r="AF141" s="202"/>
      <c r="AG141" s="1540"/>
      <c r="AH141" s="754">
        <f>ROUND(SUM(AH138-AH139),1)</f>
        <v>7866.9</v>
      </c>
      <c r="AI141" s="40"/>
      <c r="AJ141" s="611">
        <f>ROUND(SUM(AH141/ABS(AE141)),3)</f>
        <v>1.119</v>
      </c>
      <c r="AK141" s="129"/>
    </row>
    <row r="142" spans="1:37" ht="16.5" customHeight="1">
      <c r="A142" s="26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1"/>
      <c r="AB142" s="11"/>
      <c r="AC142" s="11"/>
      <c r="AD142" s="201"/>
      <c r="AE142" s="11"/>
      <c r="AF142" s="11"/>
      <c r="AG142" s="1541"/>
      <c r="AH142" s="264"/>
      <c r="AI142" s="268"/>
      <c r="AJ142" s="268"/>
    </row>
    <row r="143" spans="1:37" ht="16.5" customHeight="1">
      <c r="A143" s="40" t="s">
        <v>143</v>
      </c>
      <c r="C143" s="194"/>
      <c r="D143" s="11"/>
      <c r="E143" s="194"/>
      <c r="F143" s="11"/>
      <c r="G143" s="194"/>
      <c r="H143" s="11"/>
      <c r="I143" s="194"/>
      <c r="J143" s="11"/>
      <c r="K143" s="194"/>
      <c r="L143" s="11"/>
      <c r="M143" s="194"/>
      <c r="N143" s="11"/>
      <c r="O143" s="194"/>
      <c r="P143" s="11"/>
      <c r="Q143" s="194"/>
      <c r="R143" s="11"/>
      <c r="S143" s="194"/>
      <c r="T143" s="11"/>
      <c r="U143" s="194"/>
      <c r="V143" s="11"/>
      <c r="W143" s="194"/>
      <c r="X143" s="11"/>
      <c r="Y143" s="194"/>
      <c r="Z143" s="11"/>
      <c r="AA143" s="201"/>
      <c r="AB143" s="194"/>
      <c r="AC143" s="11"/>
      <c r="AD143" s="201"/>
      <c r="AE143" s="194"/>
      <c r="AF143" s="11"/>
      <c r="AG143" s="1542"/>
      <c r="AH143" s="264"/>
      <c r="AI143" s="268"/>
      <c r="AJ143" s="268"/>
    </row>
    <row r="144" spans="1:37" ht="16.5" customHeight="1">
      <c r="A144" s="40" t="s">
        <v>151</v>
      </c>
      <c r="C144" s="197"/>
      <c r="D144" s="202"/>
      <c r="E144" s="197"/>
      <c r="F144" s="202"/>
      <c r="G144" s="197"/>
      <c r="H144" s="202"/>
      <c r="I144" s="197"/>
      <c r="J144" s="202"/>
      <c r="K144" s="197"/>
      <c r="L144" s="202"/>
      <c r="M144" s="197"/>
      <c r="N144" s="202"/>
      <c r="O144" s="197"/>
      <c r="P144" s="202"/>
      <c r="Q144" s="197"/>
      <c r="R144" s="202"/>
      <c r="S144" s="197"/>
      <c r="T144" s="202"/>
      <c r="U144" s="197"/>
      <c r="V144" s="202"/>
      <c r="W144" s="197"/>
      <c r="X144" s="202"/>
      <c r="Y144" s="197"/>
      <c r="Z144" s="202"/>
      <c r="AA144" s="203"/>
      <c r="AB144" s="197"/>
      <c r="AC144" s="202"/>
      <c r="AD144" s="203"/>
      <c r="AE144" s="197"/>
      <c r="AF144" s="11"/>
      <c r="AG144" s="1542"/>
      <c r="AH144" s="13"/>
      <c r="AI144" s="40"/>
      <c r="AJ144" s="40"/>
      <c r="AK144" s="129"/>
    </row>
    <row r="145" spans="1:37" ht="16.5" customHeight="1">
      <c r="A145" s="40" t="s">
        <v>152</v>
      </c>
      <c r="C145" s="204">
        <f>ROUND(SUM(C135+C141),1)</f>
        <v>5130.2</v>
      </c>
      <c r="D145" s="202"/>
      <c r="E145" s="204">
        <f>ROUND(SUM(E135+E141),1)</f>
        <v>-4584.8999999999996</v>
      </c>
      <c r="F145" s="202"/>
      <c r="G145" s="204">
        <f>ROUND(SUM(G135+G141),1)</f>
        <v>9207.2000000000007</v>
      </c>
      <c r="H145" s="202"/>
      <c r="I145" s="204">
        <f>ROUND(SUM(I135+I141),1)</f>
        <v>0</v>
      </c>
      <c r="J145" s="202"/>
      <c r="K145" s="204">
        <f>ROUND(SUM(K135+K141),1)</f>
        <v>0</v>
      </c>
      <c r="L145" s="202"/>
      <c r="M145" s="204">
        <f>ROUND(SUM(M135+M141),1)</f>
        <v>0</v>
      </c>
      <c r="N145" s="202"/>
      <c r="O145" s="204">
        <f>ROUND(SUM(O135+O141),1)</f>
        <v>0</v>
      </c>
      <c r="P145" s="202"/>
      <c r="Q145" s="204">
        <f>ROUND(SUM(Q135+Q141),1)</f>
        <v>0</v>
      </c>
      <c r="R145" s="202"/>
      <c r="S145" s="204">
        <f>ROUND(SUM(S135+S141),1)</f>
        <v>0</v>
      </c>
      <c r="T145" s="202"/>
      <c r="U145" s="204">
        <f>ROUND(SUM(U135+U141),1)</f>
        <v>0</v>
      </c>
      <c r="V145" s="202"/>
      <c r="W145" s="204">
        <f>ROUND(SUM(W135+W141),1)</f>
        <v>0</v>
      </c>
      <c r="X145" s="202"/>
      <c r="Y145" s="204">
        <f>ROUND(SUM(Y135+Y141),1)</f>
        <v>0</v>
      </c>
      <c r="Z145" s="202"/>
      <c r="AA145" s="203"/>
      <c r="AB145" s="204">
        <f>ROUND(SUM(AB135+AB141),1)</f>
        <v>9752.5</v>
      </c>
      <c r="AC145" s="202"/>
      <c r="AD145" s="203"/>
      <c r="AE145" s="204">
        <f>ROUND(SUM(AE135+AE141),1)</f>
        <v>-1166.3</v>
      </c>
      <c r="AF145" s="11"/>
      <c r="AG145" s="1542"/>
      <c r="AH145" s="869">
        <f>ROUND(SUM(AB145-AE145),1)</f>
        <v>10918.8</v>
      </c>
      <c r="AI145" s="40"/>
      <c r="AJ145" s="611">
        <f>ROUND(SUM(AH145/ABS(AE145)),3)</f>
        <v>9.3620000000000001</v>
      </c>
      <c r="AK145" s="129"/>
    </row>
    <row r="146" spans="1:37" ht="15.75">
      <c r="A146" s="40"/>
      <c r="C146" s="1011"/>
      <c r="E146" s="1011"/>
      <c r="G146" s="1011"/>
      <c r="I146" s="1011"/>
      <c r="K146" s="1011"/>
      <c r="M146" s="1011"/>
      <c r="O146" s="1011"/>
      <c r="Q146" s="1011"/>
      <c r="S146" s="1011"/>
      <c r="U146" s="1011"/>
      <c r="W146" s="1011"/>
      <c r="Y146" s="1011"/>
      <c r="AA146" s="205"/>
      <c r="AB146" s="1011"/>
      <c r="AD146" s="205"/>
      <c r="AE146" s="1021"/>
      <c r="AF146" s="11"/>
      <c r="AG146" s="1542"/>
      <c r="AH146" s="268"/>
      <c r="AI146" s="268"/>
      <c r="AJ146" s="268"/>
    </row>
    <row r="147" spans="1:37" thickBot="1">
      <c r="A147" s="206" t="s">
        <v>433</v>
      </c>
      <c r="C147" s="207">
        <f>ROUND(SUM(C16+C145),1)</f>
        <v>74144.399999999994</v>
      </c>
      <c r="D147" s="67"/>
      <c r="E147" s="207">
        <f>ROUND(SUM(E16+E145),1)</f>
        <v>69559.5</v>
      </c>
      <c r="F147" s="67"/>
      <c r="G147" s="207">
        <f>ROUND(SUM(G16+G145),1)</f>
        <v>78766.7</v>
      </c>
      <c r="H147" s="67"/>
      <c r="I147" s="207">
        <f>ROUND(SUM(I16+I145),1)</f>
        <v>0</v>
      </c>
      <c r="J147" s="208"/>
      <c r="K147" s="207">
        <f>ROUND(SUM(K16+K145),1)</f>
        <v>0</v>
      </c>
      <c r="L147" s="208"/>
      <c r="M147" s="207">
        <f>ROUND(SUM(M16+M145),1)</f>
        <v>0</v>
      </c>
      <c r="N147" s="208"/>
      <c r="O147" s="207">
        <f>ROUND(SUM(O16+O145),1)</f>
        <v>0</v>
      </c>
      <c r="P147" s="208"/>
      <c r="Q147" s="207">
        <f>ROUND(SUM(Q16+Q145),1)</f>
        <v>0</v>
      </c>
      <c r="R147" s="208"/>
      <c r="S147" s="207">
        <f>ROUND(SUM(S16+S145),1)</f>
        <v>0</v>
      </c>
      <c r="T147" s="208"/>
      <c r="U147" s="207">
        <f>ROUND(SUM(U16+U145),1)</f>
        <v>0</v>
      </c>
      <c r="V147" s="208"/>
      <c r="W147" s="207">
        <f>ROUND(SUM(W16+W145),1)</f>
        <v>0</v>
      </c>
      <c r="X147" s="208"/>
      <c r="Y147" s="207">
        <f>ROUND(SUM(Y16+Y145),1)</f>
        <v>0</v>
      </c>
      <c r="Z147" s="67"/>
      <c r="AA147" s="209"/>
      <c r="AB147" s="207">
        <f>ROUND(SUM(AB16+AB145),1)</f>
        <v>78766.7</v>
      </c>
      <c r="AC147" s="67"/>
      <c r="AD147" s="209"/>
      <c r="AE147" s="207">
        <f>ROUND(SUM(AE16+AE145),1)</f>
        <v>66155.600000000006</v>
      </c>
      <c r="AF147" s="11"/>
      <c r="AG147" s="1542"/>
      <c r="AH147" s="207">
        <f>ROUND(SUM(AB147-AE147),1)</f>
        <v>12611.1</v>
      </c>
      <c r="AI147" s="40"/>
      <c r="AJ147" s="77">
        <f>ROUND(SUM(AH147/ABS(AE147)),3)</f>
        <v>0.191</v>
      </c>
      <c r="AK147" s="129"/>
    </row>
    <row r="148" spans="1:37" thickTop="1">
      <c r="A148" s="210"/>
      <c r="AH148" s="268"/>
      <c r="AI148" s="268"/>
      <c r="AJ148" s="268"/>
    </row>
    <row r="149" spans="1:37" ht="15">
      <c r="A149" s="284" t="s">
        <v>439</v>
      </c>
      <c r="O149" s="58" t="s">
        <v>103</v>
      </c>
      <c r="AH149" s="268"/>
      <c r="AI149" s="268"/>
      <c r="AJ149" s="268"/>
    </row>
    <row r="150" spans="1:37" ht="15">
      <c r="A150" s="284" t="s">
        <v>440</v>
      </c>
      <c r="AB150" s="58" t="s">
        <v>103</v>
      </c>
      <c r="AH150" s="268"/>
      <c r="AI150" s="268"/>
      <c r="AJ150" s="268"/>
    </row>
    <row r="151" spans="1:37" ht="15">
      <c r="A151" s="428" t="s">
        <v>441</v>
      </c>
      <c r="AB151" s="58" t="s">
        <v>103</v>
      </c>
      <c r="AH151" s="268"/>
      <c r="AI151" s="268"/>
      <c r="AJ151" s="268"/>
    </row>
    <row r="152" spans="1:37" ht="16.5" customHeight="1">
      <c r="AH152" s="268"/>
      <c r="AI152" s="268"/>
      <c r="AJ152" s="268"/>
    </row>
    <row r="153" spans="1:37" ht="16.5" customHeight="1">
      <c r="AH153" s="268"/>
      <c r="AI153" s="268"/>
      <c r="AJ153" s="268"/>
    </row>
    <row r="154" spans="1:37" ht="16.5" customHeight="1">
      <c r="AH154" s="268"/>
      <c r="AI154" s="268"/>
      <c r="AJ154" s="268"/>
    </row>
    <row r="155" spans="1:37" ht="16.5" customHeight="1">
      <c r="AH155" s="268"/>
      <c r="AI155" s="268"/>
      <c r="AJ155" s="268"/>
    </row>
    <row r="156" spans="1:37" ht="16.5" customHeight="1">
      <c r="AH156" s="268"/>
      <c r="AI156" s="268"/>
      <c r="AJ156" s="268"/>
    </row>
    <row r="157" spans="1:37" ht="16.5" customHeight="1">
      <c r="AH157" s="268"/>
      <c r="AI157" s="268"/>
      <c r="AJ157" s="268"/>
    </row>
    <row r="158" spans="1:37" ht="16.5" customHeight="1">
      <c r="AH158" s="268"/>
      <c r="AI158" s="268"/>
      <c r="AJ158" s="268"/>
    </row>
    <row r="159" spans="1:37" ht="16.5" customHeight="1">
      <c r="AH159" s="268"/>
      <c r="AI159" s="268"/>
      <c r="AJ159" s="268"/>
    </row>
    <row r="160" spans="1:37" ht="16.5" customHeight="1">
      <c r="AH160" s="268"/>
      <c r="AI160" s="268"/>
      <c r="AJ160" s="268"/>
    </row>
    <row r="161" spans="34:36" ht="16.5" customHeight="1">
      <c r="AH161" s="268"/>
      <c r="AI161" s="268"/>
      <c r="AJ161" s="268"/>
    </row>
    <row r="162" spans="34:36" ht="16.5" customHeight="1">
      <c r="AH162" s="268"/>
      <c r="AI162" s="268"/>
      <c r="AJ162" s="268"/>
    </row>
    <row r="163" spans="34:36" ht="16.5" customHeight="1">
      <c r="AH163" s="268"/>
      <c r="AI163" s="268"/>
      <c r="AJ163" s="268"/>
    </row>
    <row r="164" spans="34:36" ht="16.5" customHeight="1">
      <c r="AH164" s="268"/>
      <c r="AI164" s="268"/>
      <c r="AJ164" s="268"/>
    </row>
    <row r="165" spans="34:36" ht="16.5" customHeight="1">
      <c r="AH165" s="268"/>
      <c r="AI165" s="268"/>
      <c r="AJ165" s="268"/>
    </row>
  </sheetData>
  <customSheetViews>
    <customSheetView guid="{83D69B98-1714-4D17-901F-87B47BE66947}" scale="90" showPageBreaks="1" showGridLines="0" printArea="1" topLeftCell="I121">
      <selection activeCell="AJ145" sqref="AJ145"/>
      <rowBreaks count="1" manualBreakCount="1">
        <brk id="86" max="35" man="1"/>
      </rowBreaks>
      <pageMargins left="0.25" right="0.25" top="0.5" bottom="0.25" header="0.47" footer="0.3"/>
      <printOptions horizontalCentered="1"/>
      <pageSetup scale="38" firstPageNumber="18" orientation="landscape" useFirstPageNumber="1" r:id="rId1"/>
      <headerFooter scaleWithDoc="0" alignWithMargins="0">
        <oddFooter>&amp;C&amp;8&amp;P</oddFooter>
      </headerFooter>
    </customSheetView>
    <customSheetView guid="{F9AE1502-86F7-4AAA-AE66-F6A75A634C1B}"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2"/>
      <headerFooter scaleWithDoc="0" alignWithMargins="0">
        <oddFooter>&amp;C&amp;8&amp;P</oddFooter>
      </headerFooter>
    </customSheetView>
    <customSheetView guid="{C41E3923-0A88-49D0-AE43-0E74D386A056}" scale="85" showPageBreaks="1" showGridLines="0" printArea="1" topLeftCell="H65">
      <selection activeCell="AJ98" sqref="AJ98"/>
      <rowBreaks count="1" manualBreakCount="1">
        <brk id="86" max="35" man="1"/>
      </rowBreaks>
      <pageMargins left="0.25" right="0.25" top="0.5" bottom="0.25" header="0.47" footer="0.3"/>
      <printOptions horizontalCentered="1"/>
      <pageSetup scale="38" firstPageNumber="18" orientation="landscape" useFirstPageNumber="1" r:id="rId3"/>
      <headerFooter scaleWithDoc="0" alignWithMargins="0">
        <oddFooter>&amp;C&amp;8&amp;P</oddFooter>
      </headerFooter>
    </customSheetView>
    <customSheetView guid="{1DF171D7-3BFC-49F6-B708-0F91FCFAB6E2}"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4"/>
      <headerFooter scaleWithDoc="0" alignWithMargins="0">
        <oddFooter>&amp;C&amp;8&amp;P</oddFooter>
      </headerFooter>
    </customSheetView>
    <customSheetView guid="{9F00D83C-7F4F-41B5-9976-8610D9EBC976}"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5"/>
      <headerFooter scaleWithDoc="0" alignWithMargins="0">
        <oddFooter>&amp;C&amp;8&amp;P</oddFooter>
      </headerFooter>
    </customSheetView>
    <customSheetView guid="{D1467C25-646C-4F1A-9353-0E890E575522}" scale="90" showPageBreaks="1" showGridLines="0" printArea="1" topLeftCell="C2">
      <selection activeCell="AB16" sqref="AB16"/>
      <rowBreaks count="1" manualBreakCount="1">
        <brk id="86" max="35" man="1"/>
      </rowBreaks>
      <pageMargins left="0.25" right="0.25" top="0.5" bottom="0.25" header="0.47" footer="0.3"/>
      <printOptions horizontalCentered="1"/>
      <pageSetup scale="38" firstPageNumber="18" orientation="landscape" useFirstPageNumber="1" r:id="rId6"/>
      <headerFooter scaleWithDoc="0" alignWithMargins="0">
        <oddFooter>&amp;C&amp;8&amp;P</oddFooter>
      </headerFooter>
    </customSheetView>
    <customSheetView guid="{3A50DD26-AAF5-43D4-97DE-BAE3367A2F29}"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7"/>
      <headerFooter scaleWithDoc="0" alignWithMargins="0">
        <oddFooter>&amp;C&amp;8&amp;P</oddFooter>
      </headerFooter>
    </customSheetView>
    <customSheetView guid="{C3636880-B45B-4897-94F2-F91976416934}" scale="90" showPageBreaks="1" showGridLines="0" printArea="1" topLeftCell="C117">
      <selection activeCell="C126" sqref="C126"/>
      <rowBreaks count="1" manualBreakCount="1">
        <brk id="86" max="35" man="1"/>
      </rowBreaks>
      <pageMargins left="0.25" right="0.25" top="0.5" bottom="0.25" header="0.47" footer="0.3"/>
      <printOptions horizontalCentered="1"/>
      <pageSetup scale="38" firstPageNumber="18" orientation="landscape" useFirstPageNumber="1" r:id="rId8"/>
      <headerFooter scaleWithDoc="0" alignWithMargins="0">
        <oddFooter>&amp;C&amp;8&amp;P</oddFooter>
      </headerFooter>
    </customSheetView>
  </customSheetViews>
  <mergeCells count="2">
    <mergeCell ref="AC5:AJ5"/>
    <mergeCell ref="AB12:AJ12"/>
  </mergeCells>
  <printOptions horizontalCentered="1"/>
  <pageMargins left="0.25" right="0.25" top="0.5" bottom="0.25" header="0.47" footer="0.3"/>
  <pageSetup scale="38" firstPageNumber="18" orientation="landscape" useFirstPageNumber="1" r:id="rId9"/>
  <headerFooter scaleWithDoc="0" alignWithMargins="0">
    <oddFooter>&amp;C&amp;8&amp;P</oddFooter>
  </headerFooter>
  <rowBreaks count="1" manualBreakCount="1">
    <brk id="86" max="35" man="1"/>
  </rowBreaks>
  <customProperties>
    <customPr name="SheetOptions" r:id="rId10"/>
  </customProperties>
  <ignoredErrors>
    <ignoredError sqref="AJ27:AJ32 AJ37" unlockedFormula="1"/>
    <ignoredError sqref="AH35:AI35 AJ35 AJ95:AJ97 AB26 AH24 AJ33"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L148"/>
  <sheetViews>
    <sheetView showGridLines="0" zoomScale="85" zoomScaleNormal="85" workbookViewId="0"/>
  </sheetViews>
  <sheetFormatPr defaultColWidth="8.88671875" defaultRowHeight="12.75"/>
  <cols>
    <col min="1" max="1" width="2.5546875" style="56" customWidth="1"/>
    <col min="2" max="2" width="39.88671875" style="56" customWidth="1"/>
    <col min="3" max="3" width="1.109375" style="56" customWidth="1"/>
    <col min="4" max="4" width="12.44140625" style="56" bestFit="1" customWidth="1"/>
    <col min="5" max="5" width="1.88671875" style="56" customWidth="1"/>
    <col min="6" max="6" width="12.88671875" style="56" bestFit="1" customWidth="1"/>
    <col min="7" max="7" width="1.88671875" style="56" customWidth="1"/>
    <col min="8" max="8" width="12.88671875" style="56" bestFit="1" customWidth="1"/>
    <col min="9" max="9" width="1.88671875" style="56" customWidth="1"/>
    <col min="10" max="10" width="13.88671875" style="698" customWidth="1"/>
    <col min="11" max="11" width="1.88671875" style="56" customWidth="1"/>
    <col min="12" max="12" width="12.88671875" style="56" bestFit="1" customWidth="1"/>
    <col min="13" max="13" width="1.88671875" style="56" customWidth="1"/>
    <col min="14" max="14" width="13.88671875" style="56" customWidth="1"/>
    <col min="15" max="15" width="1.88671875" style="56" customWidth="1"/>
    <col min="16" max="16" width="12.88671875" style="56" bestFit="1" customWidth="1"/>
    <col min="17" max="17" width="1.88671875" style="56" customWidth="1"/>
    <col min="18" max="18" width="12.109375" style="56" customWidth="1"/>
    <col min="19" max="19" width="1.88671875" style="56" customWidth="1"/>
    <col min="20" max="20" width="14.88671875" style="56" customWidth="1"/>
    <col min="21" max="21" width="1.88671875" style="56" customWidth="1"/>
    <col min="22" max="22" width="12.109375" style="56" customWidth="1"/>
    <col min="23" max="23" width="1.88671875" style="56" customWidth="1"/>
    <col min="24" max="24" width="12.88671875" style="56" customWidth="1"/>
    <col min="25" max="25" width="1.88671875" style="56" customWidth="1"/>
    <col min="26" max="26" width="14.5546875" style="56" customWidth="1"/>
    <col min="27" max="28" width="1.109375" style="56" customWidth="1"/>
    <col min="29" max="29" width="13.109375" style="56" customWidth="1"/>
    <col min="30" max="31" width="1.109375" style="56" customWidth="1"/>
    <col min="32" max="32" width="15.109375" style="56" customWidth="1"/>
    <col min="33" max="34" width="1.109375" style="56" customWidth="1"/>
    <col min="35" max="35" width="13.109375" style="56" customWidth="1"/>
    <col min="36" max="36" width="1" style="56" customWidth="1"/>
    <col min="37" max="37" width="13.88671875" style="699" customWidth="1"/>
    <col min="38" max="38" width="10.109375" style="56" customWidth="1"/>
    <col min="39" max="16384" width="8.88671875" style="56"/>
  </cols>
  <sheetData>
    <row r="1" spans="1:38" ht="15">
      <c r="B1" s="284" t="s">
        <v>97</v>
      </c>
    </row>
    <row r="2" spans="1:38">
      <c r="A2" s="63"/>
      <c r="B2" s="63"/>
      <c r="C2" s="63"/>
      <c r="D2" s="63"/>
      <c r="E2" s="63"/>
      <c r="F2" s="63"/>
      <c r="G2" s="63"/>
      <c r="H2" s="63"/>
      <c r="I2" s="63"/>
      <c r="J2" s="422"/>
      <c r="K2" s="63"/>
      <c r="L2" s="63"/>
      <c r="M2" s="63"/>
      <c r="N2" s="63"/>
      <c r="O2" s="63"/>
      <c r="P2" s="63"/>
      <c r="Q2" s="63"/>
      <c r="R2" s="63"/>
      <c r="S2" s="63"/>
      <c r="T2" s="63"/>
      <c r="U2" s="63"/>
      <c r="V2" s="63"/>
      <c r="W2" s="63"/>
      <c r="X2" s="63"/>
      <c r="Y2" s="63"/>
      <c r="Z2" s="63"/>
      <c r="AA2" s="63"/>
      <c r="AB2" s="63"/>
      <c r="AC2" s="63"/>
      <c r="AD2" s="63"/>
      <c r="AE2" s="63"/>
      <c r="AF2" s="63"/>
      <c r="AG2" s="63"/>
    </row>
    <row r="3" spans="1:38" ht="18">
      <c r="A3" s="63"/>
      <c r="B3" s="64" t="s">
        <v>98</v>
      </c>
      <c r="C3" s="63"/>
      <c r="D3" s="63"/>
      <c r="E3" s="63"/>
      <c r="F3" s="39"/>
      <c r="G3" s="63"/>
      <c r="H3" s="63"/>
      <c r="I3" s="63"/>
      <c r="J3" s="422"/>
      <c r="K3" s="63"/>
      <c r="L3" s="63"/>
      <c r="M3" s="3"/>
      <c r="N3" s="57"/>
      <c r="O3" s="63"/>
      <c r="P3" s="63"/>
      <c r="Q3" s="63"/>
      <c r="R3" s="63"/>
      <c r="S3" s="63"/>
      <c r="T3" s="63"/>
      <c r="U3" s="63"/>
      <c r="V3" s="63"/>
      <c r="W3" s="63"/>
      <c r="X3" s="63"/>
      <c r="Y3" s="63"/>
      <c r="Z3" s="63"/>
      <c r="AA3" s="63"/>
      <c r="AB3" s="63"/>
      <c r="AC3" s="63"/>
      <c r="AD3" s="63"/>
      <c r="AE3" s="63"/>
      <c r="AF3" s="63"/>
      <c r="AG3" s="63"/>
      <c r="AK3" s="66" t="s">
        <v>442</v>
      </c>
    </row>
    <row r="4" spans="1:38" ht="18">
      <c r="A4" s="63"/>
      <c r="B4" s="65" t="s">
        <v>443</v>
      </c>
      <c r="C4" s="63"/>
      <c r="D4" s="63"/>
      <c r="E4" s="63"/>
      <c r="F4" s="39"/>
      <c r="G4" s="63"/>
      <c r="H4" s="63" t="s">
        <v>103</v>
      </c>
      <c r="I4" s="63"/>
      <c r="J4" s="422"/>
      <c r="K4" s="63"/>
      <c r="L4" s="63"/>
      <c r="M4" s="3"/>
      <c r="N4" s="57"/>
      <c r="O4" s="63"/>
      <c r="P4" s="63"/>
      <c r="Q4" s="63"/>
      <c r="R4" s="63"/>
      <c r="S4" s="63"/>
      <c r="T4" s="63"/>
      <c r="U4" s="63"/>
      <c r="V4" s="63"/>
      <c r="W4" s="63"/>
      <c r="X4" s="63"/>
      <c r="Y4" s="63"/>
      <c r="Z4" s="63"/>
      <c r="AA4" s="63"/>
      <c r="AB4" s="63"/>
      <c r="AC4" s="700"/>
      <c r="AD4" s="700"/>
      <c r="AE4" s="700"/>
      <c r="AF4" s="700"/>
      <c r="AG4" s="700"/>
    </row>
    <row r="5" spans="1:38" ht="18">
      <c r="A5" s="63"/>
      <c r="B5" s="65" t="s">
        <v>444</v>
      </c>
      <c r="C5" s="63"/>
      <c r="D5" s="63"/>
      <c r="E5" s="63"/>
      <c r="F5" s="39"/>
      <c r="G5" s="63"/>
      <c r="H5" s="63"/>
      <c r="I5" s="63"/>
      <c r="J5" s="422"/>
      <c r="K5" s="63"/>
      <c r="L5" s="63"/>
      <c r="M5" s="3"/>
      <c r="N5" s="57"/>
      <c r="O5" s="63"/>
      <c r="P5" s="63"/>
      <c r="Q5" s="63"/>
      <c r="R5" s="63"/>
      <c r="S5" s="63"/>
      <c r="T5" s="63"/>
      <c r="U5" s="63"/>
      <c r="V5" s="63"/>
      <c r="W5" s="63"/>
      <c r="X5" s="63"/>
      <c r="Y5" s="63"/>
      <c r="Z5" s="63"/>
      <c r="AA5" s="63"/>
      <c r="AB5" s="63"/>
      <c r="AD5" s="853"/>
      <c r="AE5" s="853"/>
    </row>
    <row r="6" spans="1:38" ht="18" customHeight="1">
      <c r="A6" s="63"/>
      <c r="B6" s="540" t="str">
        <f>'Cashflow Governmental'!A6</f>
        <v>FISCAL YEAR 2026-2027</v>
      </c>
      <c r="C6" s="63"/>
      <c r="D6" s="63"/>
      <c r="E6" s="63"/>
      <c r="F6" s="39"/>
      <c r="G6" s="63"/>
      <c r="H6" s="63"/>
      <c r="I6" s="63"/>
      <c r="J6" s="422"/>
      <c r="K6" s="63"/>
      <c r="L6" s="63"/>
      <c r="M6" s="3"/>
      <c r="N6" s="57"/>
      <c r="O6" s="63"/>
      <c r="P6" s="63"/>
      <c r="Q6" s="63"/>
      <c r="R6" s="63"/>
      <c r="S6" s="63"/>
      <c r="T6" s="63"/>
      <c r="U6" s="63"/>
      <c r="V6" s="63"/>
      <c r="W6" s="63"/>
      <c r="X6" s="63"/>
      <c r="Y6" s="63"/>
      <c r="Z6" s="63"/>
      <c r="AA6" s="63"/>
      <c r="AB6" s="63"/>
      <c r="AC6" s="63"/>
      <c r="AD6" s="63"/>
      <c r="AE6" s="63"/>
      <c r="AF6" s="63"/>
      <c r="AG6" s="63"/>
    </row>
    <row r="7" spans="1:38" ht="15" customHeight="1">
      <c r="A7" s="63"/>
      <c r="B7" s="65" t="s">
        <v>102</v>
      </c>
      <c r="C7" s="63"/>
      <c r="D7" s="63"/>
      <c r="E7" s="63"/>
      <c r="F7" s="39"/>
      <c r="G7" s="63"/>
      <c r="H7" s="63"/>
      <c r="I7" s="63"/>
      <c r="J7" s="422"/>
      <c r="K7" s="63"/>
      <c r="L7" s="57"/>
      <c r="M7" s="3"/>
      <c r="N7" s="63"/>
      <c r="O7" s="63"/>
      <c r="P7" s="1273"/>
      <c r="Q7" s="63"/>
      <c r="R7" s="63"/>
      <c r="S7" s="63"/>
      <c r="T7" s="63"/>
      <c r="U7" s="63"/>
      <c r="V7" s="63"/>
      <c r="W7" s="63"/>
      <c r="X7" s="63"/>
      <c r="Y7" s="63"/>
      <c r="Z7" s="63"/>
      <c r="AA7" s="63"/>
      <c r="AB7" s="63"/>
      <c r="AC7" s="63"/>
      <c r="AD7" s="63"/>
      <c r="AE7" s="63"/>
      <c r="AF7" s="63"/>
      <c r="AG7" s="63"/>
    </row>
    <row r="8" spans="1:38" ht="15" customHeight="1">
      <c r="A8" s="63"/>
      <c r="B8" s="65"/>
      <c r="C8" s="63"/>
      <c r="D8" s="63"/>
      <c r="E8" s="63"/>
      <c r="F8" s="39"/>
      <c r="G8" s="63"/>
      <c r="H8" s="63"/>
      <c r="I8" s="63"/>
      <c r="J8" s="422"/>
      <c r="K8" s="63"/>
      <c r="L8" s="57"/>
      <c r="M8" s="3"/>
      <c r="N8" s="63"/>
      <c r="O8" s="63"/>
      <c r="P8" s="1273"/>
      <c r="Q8" s="63"/>
      <c r="R8" s="63"/>
      <c r="S8" s="63"/>
      <c r="T8" s="63"/>
      <c r="U8" s="63"/>
      <c r="V8" s="63"/>
      <c r="W8" s="63"/>
      <c r="X8" s="63"/>
      <c r="Y8" s="63"/>
      <c r="Z8" s="63"/>
      <c r="AA8" s="63"/>
      <c r="AB8" s="63"/>
      <c r="AC8" s="63"/>
      <c r="AD8" s="63"/>
      <c r="AE8" s="63"/>
      <c r="AF8" s="63"/>
      <c r="AG8" s="63"/>
    </row>
    <row r="9" spans="1:38" ht="15.75">
      <c r="A9" s="63"/>
      <c r="B9" s="63"/>
      <c r="C9" s="63"/>
      <c r="D9" s="1118"/>
      <c r="E9" s="63"/>
      <c r="F9" s="39"/>
      <c r="G9" s="63"/>
      <c r="H9" s="63"/>
      <c r="I9" s="63"/>
      <c r="J9" s="422"/>
      <c r="K9" s="63"/>
      <c r="L9" s="63"/>
      <c r="M9" s="63"/>
      <c r="N9" s="63"/>
      <c r="O9" s="63"/>
      <c r="P9" s="63"/>
      <c r="Q9" s="63"/>
      <c r="R9" s="63"/>
      <c r="S9" s="63"/>
      <c r="T9" s="63"/>
      <c r="U9" s="63"/>
      <c r="V9" s="63"/>
      <c r="W9" s="63"/>
      <c r="X9" s="63"/>
      <c r="Y9" s="63"/>
      <c r="Z9" s="63"/>
      <c r="AA9" s="63"/>
      <c r="AB9" s="2065" t="str">
        <f>'Cashflow Governmental'!$AB$12</f>
        <v>3 Months Ended June 30</v>
      </c>
      <c r="AC9" s="2065"/>
      <c r="AD9" s="2065"/>
      <c r="AE9" s="2065"/>
      <c r="AF9" s="2065"/>
      <c r="AG9" s="2065"/>
      <c r="AH9" s="2065"/>
      <c r="AI9" s="2065"/>
      <c r="AJ9" s="2065"/>
      <c r="AK9" s="2065"/>
    </row>
    <row r="10" spans="1:38" ht="15" customHeight="1">
      <c r="A10" s="63"/>
      <c r="B10" s="364"/>
      <c r="C10" s="364"/>
      <c r="D10" s="1111" t="str">
        <f>'Cashflow Governmental'!C13</f>
        <v>2026</v>
      </c>
      <c r="E10" s="187"/>
      <c r="F10" s="187"/>
      <c r="G10" s="187"/>
      <c r="H10" s="187"/>
      <c r="I10" s="187"/>
      <c r="J10" s="187"/>
      <c r="K10" s="187"/>
      <c r="L10" s="187"/>
      <c r="M10" s="187"/>
      <c r="N10" s="187"/>
      <c r="O10" s="187"/>
      <c r="P10" s="187"/>
      <c r="Q10" s="187"/>
      <c r="R10" s="187"/>
      <c r="S10" s="187"/>
      <c r="T10" s="187"/>
      <c r="U10" s="187"/>
      <c r="V10" s="558">
        <f>'Cashflow Governmental'!U13</f>
        <v>2027</v>
      </c>
      <c r="W10" s="187"/>
      <c r="X10" s="187"/>
      <c r="Y10" s="187"/>
      <c r="Z10" s="187"/>
      <c r="AA10" s="57"/>
      <c r="AB10" s="3"/>
      <c r="AC10" s="57"/>
      <c r="AD10" s="3"/>
      <c r="AE10" s="3"/>
      <c r="AF10" s="57"/>
      <c r="AG10" s="57"/>
      <c r="AH10" s="59"/>
      <c r="AI10" s="319" t="s">
        <v>110</v>
      </c>
      <c r="AJ10" s="57"/>
      <c r="AK10" s="320" t="s">
        <v>111</v>
      </c>
    </row>
    <row r="11" spans="1:38" ht="15" customHeight="1">
      <c r="A11" s="63"/>
      <c r="B11" s="364"/>
      <c r="C11" s="364"/>
      <c r="D11" s="52" t="s">
        <v>329</v>
      </c>
      <c r="E11" s="3"/>
      <c r="F11" s="1112" t="s">
        <v>330</v>
      </c>
      <c r="G11" s="3"/>
      <c r="H11" s="1112" t="s">
        <v>331</v>
      </c>
      <c r="I11" s="3"/>
      <c r="J11" s="17" t="s">
        <v>332</v>
      </c>
      <c r="K11" s="3"/>
      <c r="L11" s="320" t="s">
        <v>333</v>
      </c>
      <c r="M11" s="3"/>
      <c r="N11" s="320" t="s">
        <v>445</v>
      </c>
      <c r="O11" s="3"/>
      <c r="P11" s="320" t="s">
        <v>446</v>
      </c>
      <c r="Q11" s="3"/>
      <c r="R11" s="320" t="s">
        <v>336</v>
      </c>
      <c r="S11" s="3"/>
      <c r="T11" s="320" t="s">
        <v>337</v>
      </c>
      <c r="U11" s="3"/>
      <c r="V11" s="320" t="s">
        <v>338</v>
      </c>
      <c r="W11" s="3"/>
      <c r="X11" s="320" t="s">
        <v>339</v>
      </c>
      <c r="Y11" s="3"/>
      <c r="Z11" s="320" t="s">
        <v>447</v>
      </c>
      <c r="AA11" s="320"/>
      <c r="AB11" s="3"/>
      <c r="AC11" s="1022" t="str">
        <f>'Cashflow Governmental'!AB14</f>
        <v>2026</v>
      </c>
      <c r="AD11" s="3" t="s">
        <v>103</v>
      </c>
      <c r="AE11" s="3"/>
      <c r="AF11" s="1022" t="str">
        <f>'Cashflow Governmental'!AE14</f>
        <v>2025</v>
      </c>
      <c r="AG11" s="701"/>
      <c r="AH11" s="59"/>
      <c r="AI11" s="1219" t="s">
        <v>112</v>
      </c>
      <c r="AJ11" s="57"/>
      <c r="AK11" s="989" t="s">
        <v>113</v>
      </c>
    </row>
    <row r="12" spans="1:38" ht="5.25" customHeight="1">
      <c r="A12" s="63"/>
      <c r="B12" s="364"/>
      <c r="C12" s="364"/>
      <c r="D12" s="988" t="s">
        <v>103</v>
      </c>
      <c r="E12" s="364"/>
      <c r="F12" s="1113"/>
      <c r="G12" s="364"/>
      <c r="H12" s="988"/>
      <c r="I12" s="364"/>
      <c r="J12" s="615"/>
      <c r="K12" s="364"/>
      <c r="L12" s="988"/>
      <c r="M12" s="364"/>
      <c r="N12" s="988"/>
      <c r="O12" s="364"/>
      <c r="P12" s="988"/>
      <c r="Q12" s="364"/>
      <c r="R12" s="988"/>
      <c r="S12" s="364"/>
      <c r="T12" s="988"/>
      <c r="U12" s="364"/>
      <c r="V12" s="988"/>
      <c r="W12" s="364"/>
      <c r="X12" s="988"/>
      <c r="Y12" s="364"/>
      <c r="Z12" s="988"/>
      <c r="AA12" s="364"/>
      <c r="AB12" s="364"/>
      <c r="AC12" s="364"/>
      <c r="AD12" s="364"/>
      <c r="AE12" s="364"/>
      <c r="AF12" s="364"/>
      <c r="AG12" s="364"/>
    </row>
    <row r="13" spans="1:38" ht="15" customHeight="1">
      <c r="A13" s="35"/>
      <c r="B13" s="6" t="s">
        <v>341</v>
      </c>
      <c r="C13" s="291"/>
      <c r="D13" s="82">
        <v>56177.599999999999</v>
      </c>
      <c r="E13" s="82"/>
      <c r="F13" s="82">
        <f>D144</f>
        <v>59894.6</v>
      </c>
      <c r="G13" s="82"/>
      <c r="H13" s="82">
        <f>F144</f>
        <v>53661.4</v>
      </c>
      <c r="I13" s="45"/>
      <c r="J13" s="82"/>
      <c r="K13" s="45"/>
      <c r="L13" s="82"/>
      <c r="M13" s="45"/>
      <c r="N13" s="82"/>
      <c r="O13" s="45"/>
      <c r="P13" s="82"/>
      <c r="Q13" s="45"/>
      <c r="R13" s="82"/>
      <c r="S13" s="20"/>
      <c r="T13" s="82"/>
      <c r="U13" s="20"/>
      <c r="V13" s="82"/>
      <c r="W13" s="20"/>
      <c r="X13" s="82"/>
      <c r="Y13" s="20"/>
      <c r="Z13" s="82"/>
      <c r="AA13" s="45"/>
      <c r="AB13" s="703"/>
      <c r="AC13" s="20">
        <f>D13</f>
        <v>56177.599999999999</v>
      </c>
      <c r="AD13" s="45"/>
      <c r="AE13" s="703"/>
      <c r="AF13" s="1943">
        <v>56915.8</v>
      </c>
      <c r="AG13" s="45"/>
      <c r="AH13" s="704"/>
      <c r="AI13" s="20">
        <f>ROUND(SUM(+AC13-AF13),1)</f>
        <v>-738.2</v>
      </c>
      <c r="AJ13" s="705"/>
      <c r="AK13" s="281">
        <f>ROUND(IF(AF13=0,0,AI13/ABS(AF13)),3)</f>
        <v>-1.2999999999999999E-2</v>
      </c>
      <c r="AL13" s="1527"/>
    </row>
    <row r="14" spans="1:38" ht="15" customHeight="1">
      <c r="A14" s="35"/>
      <c r="B14" s="291"/>
      <c r="C14" s="291"/>
      <c r="D14" s="291"/>
      <c r="E14" s="291"/>
      <c r="F14" s="384"/>
      <c r="G14" s="291"/>
      <c r="H14" s="384"/>
      <c r="I14" s="291"/>
      <c r="J14" s="384"/>
      <c r="K14" s="291"/>
      <c r="L14" s="384"/>
      <c r="M14" s="291"/>
      <c r="N14" s="364"/>
      <c r="O14" s="291"/>
      <c r="P14" s="364"/>
      <c r="Q14" s="291"/>
      <c r="R14" s="364"/>
      <c r="S14" s="291"/>
      <c r="T14" s="364"/>
      <c r="U14" s="291"/>
      <c r="V14" s="364"/>
      <c r="W14" s="291"/>
      <c r="X14" s="364"/>
      <c r="Y14" s="291"/>
      <c r="Z14" s="364"/>
      <c r="AA14" s="364"/>
      <c r="AB14" s="854"/>
      <c r="AC14" s="364"/>
      <c r="AD14" s="291"/>
      <c r="AE14" s="854"/>
      <c r="AF14" s="364"/>
      <c r="AG14" s="364"/>
      <c r="AH14" s="702"/>
      <c r="AI14" s="63"/>
      <c r="AJ14" s="63"/>
      <c r="AK14" s="328"/>
      <c r="AL14" s="1527"/>
    </row>
    <row r="15" spans="1:38" ht="15" customHeight="1">
      <c r="A15" s="35"/>
      <c r="B15" s="3" t="s">
        <v>114</v>
      </c>
      <c r="C15" s="291"/>
      <c r="D15" s="291"/>
      <c r="E15" s="291"/>
      <c r="F15" s="364"/>
      <c r="G15" s="291"/>
      <c r="H15" s="364"/>
      <c r="I15" s="291"/>
      <c r="J15" s="364"/>
      <c r="K15" s="291"/>
      <c r="L15" s="364"/>
      <c r="M15" s="291"/>
      <c r="N15" s="364"/>
      <c r="O15" s="291"/>
      <c r="P15" s="364"/>
      <c r="Q15" s="291"/>
      <c r="R15" s="364"/>
      <c r="S15" s="291"/>
      <c r="T15" s="364"/>
      <c r="U15" s="291"/>
      <c r="V15" s="364"/>
      <c r="W15" s="291"/>
      <c r="X15" s="364"/>
      <c r="Y15" s="291"/>
      <c r="Z15" s="364"/>
      <c r="AA15" s="364"/>
      <c r="AB15" s="854"/>
      <c r="AC15" s="364"/>
      <c r="AD15" s="291"/>
      <c r="AE15" s="854"/>
      <c r="AF15" s="364"/>
      <c r="AG15" s="364"/>
      <c r="AH15" s="702"/>
      <c r="AI15" s="63"/>
      <c r="AJ15" s="63"/>
      <c r="AK15" s="328"/>
      <c r="AL15" s="1527"/>
    </row>
    <row r="16" spans="1:38" ht="15" customHeight="1">
      <c r="A16" s="35"/>
      <c r="B16" s="1216" t="s">
        <v>342</v>
      </c>
      <c r="C16" s="291"/>
      <c r="D16" s="291"/>
      <c r="E16" s="291"/>
      <c r="F16" s="364"/>
      <c r="G16" s="291"/>
      <c r="H16" s="364"/>
      <c r="I16" s="291"/>
      <c r="J16" s="364"/>
      <c r="K16" s="291"/>
      <c r="L16" s="364"/>
      <c r="M16" s="291"/>
      <c r="N16" s="364"/>
      <c r="O16" s="291"/>
      <c r="P16" s="364"/>
      <c r="Q16" s="291"/>
      <c r="R16" s="364"/>
      <c r="S16" s="291"/>
      <c r="T16" s="364"/>
      <c r="U16" s="291"/>
      <c r="V16" s="364"/>
      <c r="W16" s="291"/>
      <c r="X16" s="364"/>
      <c r="Y16" s="291"/>
      <c r="Z16" s="364"/>
      <c r="AA16" s="364"/>
      <c r="AB16" s="854"/>
      <c r="AC16" s="364"/>
      <c r="AD16" s="291"/>
      <c r="AE16" s="854"/>
      <c r="AF16" s="364"/>
      <c r="AG16" s="364"/>
      <c r="AH16" s="702"/>
      <c r="AI16" s="63"/>
      <c r="AJ16" s="63"/>
      <c r="AK16" s="328"/>
      <c r="AL16" s="1527"/>
    </row>
    <row r="17" spans="1:38" ht="15" customHeight="1">
      <c r="A17" s="35"/>
      <c r="B17" s="412" t="s">
        <v>435</v>
      </c>
      <c r="C17" s="291"/>
      <c r="D17" s="291"/>
      <c r="E17" s="291"/>
      <c r="F17" s="364"/>
      <c r="G17" s="291"/>
      <c r="H17" s="364"/>
      <c r="I17" s="291"/>
      <c r="J17" s="364"/>
      <c r="K17" s="291"/>
      <c r="L17" s="364"/>
      <c r="M17" s="291"/>
      <c r="N17" s="364"/>
      <c r="O17" s="291"/>
      <c r="P17" s="364"/>
      <c r="Q17" s="291"/>
      <c r="R17" s="364"/>
      <c r="S17" s="291"/>
      <c r="T17" s="364"/>
      <c r="U17" s="291"/>
      <c r="V17" s="364"/>
      <c r="W17" s="291"/>
      <c r="X17" s="364"/>
      <c r="Y17" s="291"/>
      <c r="Z17" s="364"/>
      <c r="AA17" s="364"/>
      <c r="AB17" s="854"/>
      <c r="AC17" s="364"/>
      <c r="AD17" s="291"/>
      <c r="AE17" s="854"/>
      <c r="AF17" s="364"/>
      <c r="AG17" s="364"/>
      <c r="AH17" s="702"/>
      <c r="AI17" s="63"/>
      <c r="AJ17" s="63"/>
      <c r="AK17" s="328"/>
      <c r="AL17" s="1527"/>
    </row>
    <row r="18" spans="1:38" ht="15" customHeight="1">
      <c r="A18" s="35"/>
      <c r="B18" s="284" t="s">
        <v>344</v>
      </c>
      <c r="C18" s="291"/>
      <c r="D18" s="531">
        <v>5407.3</v>
      </c>
      <c r="E18" s="512"/>
      <c r="F18" s="531">
        <v>4600.9999999999991</v>
      </c>
      <c r="G18" s="512"/>
      <c r="H18" s="531">
        <f>$AC$18-F18-D18</f>
        <v>4759.4999999999991</v>
      </c>
      <c r="I18" s="526"/>
      <c r="J18" s="531"/>
      <c r="K18" s="512"/>
      <c r="L18" s="531"/>
      <c r="M18" s="553"/>
      <c r="N18" s="531"/>
      <c r="O18" s="553"/>
      <c r="P18" s="531"/>
      <c r="Q18" s="553"/>
      <c r="R18" s="531"/>
      <c r="S18" s="512"/>
      <c r="T18" s="531"/>
      <c r="U18" s="512"/>
      <c r="V18" s="531"/>
      <c r="W18" s="512"/>
      <c r="X18" s="531"/>
      <c r="Y18" s="512"/>
      <c r="Z18" s="531"/>
      <c r="AA18" s="289"/>
      <c r="AB18" s="524"/>
      <c r="AC18" s="531">
        <v>14767.8</v>
      </c>
      <c r="AD18" s="264"/>
      <c r="AE18" s="524" t="s">
        <v>103</v>
      </c>
      <c r="AF18" s="531">
        <v>13511</v>
      </c>
      <c r="AG18" s="364"/>
      <c r="AH18" s="702"/>
      <c r="AI18" s="264">
        <f>ROUND(SUM(+AC18-AF18),1)</f>
        <v>1256.8</v>
      </c>
      <c r="AJ18" s="63"/>
      <c r="AK18" s="266">
        <f t="shared" ref="AK18:AK22" si="0">ROUND(IF(AF18=0,0,AI18/ABS(AF18)),3)</f>
        <v>9.2999999999999999E-2</v>
      </c>
      <c r="AL18" s="1789"/>
    </row>
    <row r="19" spans="1:38" ht="15" customHeight="1">
      <c r="A19" s="35"/>
      <c r="B19" s="284" t="s">
        <v>345</v>
      </c>
      <c r="C19" s="291"/>
      <c r="D19" s="531">
        <v>7071.9</v>
      </c>
      <c r="E19" s="512"/>
      <c r="F19" s="531">
        <v>102.80000000000018</v>
      </c>
      <c r="G19" s="512"/>
      <c r="H19" s="531">
        <f>$AC19-F19-D19</f>
        <v>2120.6999999999989</v>
      </c>
      <c r="I19" s="291"/>
      <c r="J19" s="531"/>
      <c r="K19" s="553"/>
      <c r="L19" s="531"/>
      <c r="M19" s="553"/>
      <c r="N19" s="531"/>
      <c r="O19" s="553"/>
      <c r="P19" s="531"/>
      <c r="Q19" s="553"/>
      <c r="R19" s="531"/>
      <c r="S19" s="512"/>
      <c r="T19" s="531"/>
      <c r="U19" s="553"/>
      <c r="V19" s="531"/>
      <c r="W19" s="512"/>
      <c r="X19" s="531"/>
      <c r="Y19" s="553"/>
      <c r="Z19" s="531"/>
      <c r="AA19" s="289"/>
      <c r="AB19" s="524"/>
      <c r="AC19" s="531">
        <v>9295.4</v>
      </c>
      <c r="AD19" s="264"/>
      <c r="AE19" s="524" t="s">
        <v>103</v>
      </c>
      <c r="AF19" s="531">
        <v>8407.2000000000007</v>
      </c>
      <c r="AG19" s="364"/>
      <c r="AH19" s="702"/>
      <c r="AI19" s="264">
        <f>ROUND(SUM(+AC19-AF19),1)</f>
        <v>888.2</v>
      </c>
      <c r="AJ19" s="63"/>
      <c r="AK19" s="542">
        <f t="shared" si="0"/>
        <v>0.106</v>
      </c>
      <c r="AL19" s="1789"/>
    </row>
    <row r="20" spans="1:38" ht="15" customHeight="1">
      <c r="A20" s="35"/>
      <c r="B20" s="284" t="s">
        <v>346</v>
      </c>
      <c r="C20" s="291"/>
      <c r="D20" s="531">
        <v>3100.3</v>
      </c>
      <c r="E20" s="512"/>
      <c r="F20" s="531">
        <v>129.69999999999982</v>
      </c>
      <c r="G20" s="512"/>
      <c r="H20" s="531">
        <f>$AC20-F20-D20</f>
        <v>113.59999999999991</v>
      </c>
      <c r="I20" s="291"/>
      <c r="J20" s="531"/>
      <c r="K20" s="553"/>
      <c r="L20" s="531"/>
      <c r="M20" s="553"/>
      <c r="N20" s="531"/>
      <c r="O20" s="553"/>
      <c r="P20" s="531"/>
      <c r="Q20" s="553"/>
      <c r="R20" s="531"/>
      <c r="S20" s="512"/>
      <c r="T20" s="531"/>
      <c r="U20" s="553"/>
      <c r="V20" s="531"/>
      <c r="W20" s="512"/>
      <c r="X20" s="531"/>
      <c r="Y20" s="553"/>
      <c r="Z20" s="531"/>
      <c r="AA20" s="289"/>
      <c r="AB20" s="524"/>
      <c r="AC20" s="531">
        <v>3343.6</v>
      </c>
      <c r="AD20" s="264"/>
      <c r="AE20" s="524" t="s">
        <v>103</v>
      </c>
      <c r="AF20" s="531">
        <v>3091.3</v>
      </c>
      <c r="AG20" s="364"/>
      <c r="AH20" s="702"/>
      <c r="AI20" s="264">
        <f>ROUND(SUM(+AC20-AF20),1)</f>
        <v>252.3</v>
      </c>
      <c r="AJ20" s="63"/>
      <c r="AK20" s="266">
        <f t="shared" si="0"/>
        <v>8.2000000000000003E-2</v>
      </c>
      <c r="AL20" s="1789"/>
    </row>
    <row r="21" spans="1:38" s="1208" customFormat="1" ht="15" customHeight="1">
      <c r="A21" s="1199"/>
      <c r="B21" s="1200" t="s">
        <v>347</v>
      </c>
      <c r="C21" s="1201"/>
      <c r="D21" s="531">
        <v>-553.5</v>
      </c>
      <c r="E21" s="1107"/>
      <c r="F21" s="531">
        <v>-69.600000000000023</v>
      </c>
      <c r="G21" s="1107"/>
      <c r="H21" s="531">
        <f>$AC21-F21-D21</f>
        <v>-60.399999999999977</v>
      </c>
      <c r="I21" s="1201"/>
      <c r="J21" s="531"/>
      <c r="K21" s="1202"/>
      <c r="L21" s="531"/>
      <c r="M21" s="1202"/>
      <c r="N21" s="531"/>
      <c r="O21" s="1202"/>
      <c r="P21" s="531"/>
      <c r="Q21" s="1202"/>
      <c r="R21" s="531"/>
      <c r="S21" s="1107"/>
      <c r="T21" s="531"/>
      <c r="U21" s="1202"/>
      <c r="V21" s="531"/>
      <c r="W21" s="1107"/>
      <c r="X21" s="531"/>
      <c r="Y21" s="1202"/>
      <c r="Z21" s="531"/>
      <c r="AA21" s="1203"/>
      <c r="AB21" s="1204"/>
      <c r="AC21" s="1192">
        <v>-683.5</v>
      </c>
      <c r="AD21" s="1193"/>
      <c r="AE21" s="1204" t="s">
        <v>103</v>
      </c>
      <c r="AF21" s="1192">
        <v>-625</v>
      </c>
      <c r="AG21" s="1205"/>
      <c r="AH21" s="1206"/>
      <c r="AI21" s="1193">
        <f>-ROUND(SUM(+AC21-AF21),1)</f>
        <v>58.5</v>
      </c>
      <c r="AJ21" s="1207"/>
      <c r="AK21" s="1191">
        <f t="shared" si="0"/>
        <v>9.4E-2</v>
      </c>
      <c r="AL21" s="1789"/>
    </row>
    <row r="22" spans="1:38" ht="15" customHeight="1">
      <c r="A22" s="35"/>
      <c r="B22" s="420" t="s">
        <v>348</v>
      </c>
      <c r="C22" s="291"/>
      <c r="D22" s="531">
        <v>253.6</v>
      </c>
      <c r="E22" s="512"/>
      <c r="F22" s="531">
        <v>148.29999999999998</v>
      </c>
      <c r="G22" s="512"/>
      <c r="H22" s="531">
        <f>$AC22-F22-D22</f>
        <v>163.00000000000003</v>
      </c>
      <c r="I22" s="291"/>
      <c r="J22" s="531"/>
      <c r="K22" s="553"/>
      <c r="L22" s="531"/>
      <c r="M22" s="553"/>
      <c r="N22" s="531"/>
      <c r="O22" s="553"/>
      <c r="P22" s="531"/>
      <c r="Q22" s="553"/>
      <c r="R22" s="531"/>
      <c r="S22" s="512"/>
      <c r="T22" s="531"/>
      <c r="U22" s="553"/>
      <c r="V22" s="531"/>
      <c r="W22" s="512"/>
      <c r="X22" s="531"/>
      <c r="Y22" s="553"/>
      <c r="Z22" s="531"/>
      <c r="AA22" s="289"/>
      <c r="AB22" s="524"/>
      <c r="AC22" s="531">
        <v>564.9</v>
      </c>
      <c r="AD22" s="264"/>
      <c r="AE22" s="524" t="s">
        <v>103</v>
      </c>
      <c r="AF22" s="531">
        <v>553.9</v>
      </c>
      <c r="AG22" s="364"/>
      <c r="AH22" s="702"/>
      <c r="AI22" s="264">
        <f>ROUND(SUM(+AC22-AF22),1)</f>
        <v>11</v>
      </c>
      <c r="AJ22" s="63"/>
      <c r="AK22" s="266">
        <f t="shared" si="0"/>
        <v>0.02</v>
      </c>
      <c r="AL22" s="1789"/>
    </row>
    <row r="23" spans="1:38" ht="15" customHeight="1">
      <c r="A23" s="35"/>
      <c r="B23" s="285" t="s">
        <v>349</v>
      </c>
      <c r="C23" s="291"/>
      <c r="D23" s="673">
        <f>ROUND(SUM(D18:D22),1)</f>
        <v>15279.6</v>
      </c>
      <c r="E23" s="291"/>
      <c r="F23" s="673">
        <f>ROUND(SUM(F18:F22),1)</f>
        <v>4912.2</v>
      </c>
      <c r="G23" s="291"/>
      <c r="H23" s="673">
        <f>ROUND(SUM(H18:H22),1)</f>
        <v>7096.4</v>
      </c>
      <c r="I23" s="291"/>
      <c r="J23" s="673">
        <f>ROUND(SUM(J18:J22),1)</f>
        <v>0</v>
      </c>
      <c r="K23" s="291"/>
      <c r="L23" s="673">
        <f>ROUND(SUM(L18:L22),1)</f>
        <v>0</v>
      </c>
      <c r="M23" s="291"/>
      <c r="N23" s="673">
        <f>ROUND(SUM(N18:N22),1)</f>
        <v>0</v>
      </c>
      <c r="O23" s="264"/>
      <c r="P23" s="673">
        <f>ROUND(SUM(P18:P22),1)</f>
        <v>0</v>
      </c>
      <c r="Q23" s="264"/>
      <c r="R23" s="673">
        <f>ROUND(SUM(R18:R22),1)</f>
        <v>0</v>
      </c>
      <c r="S23" s="13"/>
      <c r="T23" s="673">
        <f>ROUND(SUM(T18:T22),1)</f>
        <v>0</v>
      </c>
      <c r="U23" s="264"/>
      <c r="V23" s="673">
        <f>ROUND(SUM(V18:V22),1)</f>
        <v>0</v>
      </c>
      <c r="W23" s="264"/>
      <c r="X23" s="673">
        <f>ROUND(SUM(X18:X22),1)</f>
        <v>0</v>
      </c>
      <c r="Y23" s="264"/>
      <c r="Z23" s="673">
        <f>ROUND(SUM(Z18:Z22),1)</f>
        <v>0</v>
      </c>
      <c r="AA23" s="364"/>
      <c r="AB23" s="854"/>
      <c r="AC23" s="673">
        <f>ROUND(SUM(AC18:AC22),1)</f>
        <v>27288.2</v>
      </c>
      <c r="AD23" s="291"/>
      <c r="AE23" s="854" t="s">
        <v>103</v>
      </c>
      <c r="AF23" s="673">
        <f>ROUND(SUM(AF18:AF22),1)</f>
        <v>24938.400000000001</v>
      </c>
      <c r="AG23" s="364"/>
      <c r="AH23" s="702"/>
      <c r="AI23" s="673">
        <f>ROUND(SUM(AC23-AF23),1)</f>
        <v>2349.8000000000002</v>
      </c>
      <c r="AJ23" s="63"/>
      <c r="AK23" s="923">
        <f>ROUND(SUM(+AI23/AF23),3)</f>
        <v>9.4E-2</v>
      </c>
      <c r="AL23" s="1789"/>
    </row>
    <row r="24" spans="1:38" ht="15" customHeight="1">
      <c r="A24" s="35"/>
      <c r="B24" s="420" t="s">
        <v>350</v>
      </c>
      <c r="C24" s="291"/>
      <c r="D24" s="531">
        <v>0</v>
      </c>
      <c r="E24" s="512"/>
      <c r="F24" s="531">
        <v>0</v>
      </c>
      <c r="G24" s="512"/>
      <c r="H24" s="531">
        <f>AC24-F24-D24</f>
        <v>0</v>
      </c>
      <c r="I24" s="291"/>
      <c r="J24" s="531"/>
      <c r="K24" s="553"/>
      <c r="L24" s="531"/>
      <c r="M24" s="553"/>
      <c r="N24" s="531"/>
      <c r="O24" s="553"/>
      <c r="P24" s="531"/>
      <c r="Q24" s="553"/>
      <c r="R24" s="531"/>
      <c r="S24" s="553"/>
      <c r="T24" s="531"/>
      <c r="U24" s="553"/>
      <c r="V24" s="531"/>
      <c r="W24" s="553"/>
      <c r="X24" s="531"/>
      <c r="Y24" s="553"/>
      <c r="Z24" s="531"/>
      <c r="AA24" s="289"/>
      <c r="AB24" s="524"/>
      <c r="AC24" s="1192">
        <v>0</v>
      </c>
      <c r="AD24" s="264"/>
      <c r="AE24" s="524" t="s">
        <v>103</v>
      </c>
      <c r="AF24" s="1192">
        <v>0</v>
      </c>
      <c r="AG24" s="364"/>
      <c r="AH24" s="702"/>
      <c r="AI24" s="264">
        <f>-ROUND(SUM(+AC24-AF24),1)</f>
        <v>0</v>
      </c>
      <c r="AJ24" s="63"/>
      <c r="AK24" s="266">
        <f>ROUND(IF(AF24=0,0,AI24/ABS(AF24)),3)</f>
        <v>0</v>
      </c>
      <c r="AL24" s="1789"/>
    </row>
    <row r="25" spans="1:38" ht="15" customHeight="1">
      <c r="A25" s="35"/>
      <c r="B25" s="420" t="s">
        <v>351</v>
      </c>
      <c r="C25" s="291"/>
      <c r="D25" s="531">
        <v>-5227.2</v>
      </c>
      <c r="E25" s="512"/>
      <c r="F25" s="531">
        <v>-2024.5</v>
      </c>
      <c r="G25" s="512"/>
      <c r="H25" s="531">
        <f t="shared" ref="H25:H26" si="1">AC25-F25-D25</f>
        <v>-3191.4000000000005</v>
      </c>
      <c r="I25" s="291"/>
      <c r="J25" s="531"/>
      <c r="K25" s="553"/>
      <c r="L25" s="531"/>
      <c r="M25" s="553"/>
      <c r="N25" s="531"/>
      <c r="O25" s="553"/>
      <c r="P25" s="531"/>
      <c r="Q25" s="553"/>
      <c r="R25" s="531"/>
      <c r="S25" s="553"/>
      <c r="T25" s="531"/>
      <c r="U25" s="553"/>
      <c r="V25" s="531"/>
      <c r="W25" s="553"/>
      <c r="X25" s="531"/>
      <c r="Y25" s="553"/>
      <c r="Z25" s="531"/>
      <c r="AA25" s="289"/>
      <c r="AB25" s="524"/>
      <c r="AC25" s="1192">
        <v>-10443.1</v>
      </c>
      <c r="AD25" s="264"/>
      <c r="AE25" s="524" t="s">
        <v>103</v>
      </c>
      <c r="AF25" s="1192">
        <v>-9604.7000000000007</v>
      </c>
      <c r="AG25" s="364"/>
      <c r="AH25" s="702"/>
      <c r="AI25" s="264">
        <f>-ROUND(SUM(+AC25-AF25),1)</f>
        <v>838.4</v>
      </c>
      <c r="AJ25" s="63"/>
      <c r="AK25" s="266">
        <f>ROUND(IF(AF25=0,0,AI25/ABS(AF25)),3)</f>
        <v>8.6999999999999994E-2</v>
      </c>
      <c r="AL25" s="1789"/>
    </row>
    <row r="26" spans="1:38" ht="15" customHeight="1">
      <c r="A26" s="35"/>
      <c r="B26" s="284" t="s">
        <v>352</v>
      </c>
      <c r="C26" s="291"/>
      <c r="D26" s="531">
        <v>-4825.2</v>
      </c>
      <c r="E26" s="512"/>
      <c r="F26" s="531">
        <v>-863.19999999999982</v>
      </c>
      <c r="G26" s="512"/>
      <c r="H26" s="531">
        <f t="shared" si="1"/>
        <v>-713.60000000000036</v>
      </c>
      <c r="I26" s="291"/>
      <c r="J26" s="531"/>
      <c r="K26" s="553"/>
      <c r="L26" s="531"/>
      <c r="M26" s="553"/>
      <c r="N26" s="531"/>
      <c r="O26" s="553"/>
      <c r="P26" s="531"/>
      <c r="Q26" s="553"/>
      <c r="R26" s="531"/>
      <c r="S26" s="553"/>
      <c r="T26" s="531"/>
      <c r="U26" s="553"/>
      <c r="V26" s="531"/>
      <c r="W26" s="553"/>
      <c r="X26" s="531"/>
      <c r="Y26" s="553"/>
      <c r="Z26" s="531"/>
      <c r="AA26" s="289"/>
      <c r="AB26" s="524"/>
      <c r="AC26" s="1192">
        <v>-6402</v>
      </c>
      <c r="AD26" s="264"/>
      <c r="AE26" s="524" t="s">
        <v>103</v>
      </c>
      <c r="AF26" s="1192">
        <v>-5729.1</v>
      </c>
      <c r="AG26" s="364"/>
      <c r="AH26" s="702"/>
      <c r="AI26" s="264">
        <f>-ROUND(SUM(+AC26-AF26),1)</f>
        <v>672.9</v>
      </c>
      <c r="AJ26" s="63"/>
      <c r="AK26" s="266">
        <f>ROUND(IF(AF26=0,0,AI26/ABS(AF26)),3)</f>
        <v>0.11700000000000001</v>
      </c>
      <c r="AL26" s="1789"/>
    </row>
    <row r="27" spans="1:38" ht="15" customHeight="1">
      <c r="A27" s="35"/>
      <c r="B27" s="83" t="s">
        <v>353</v>
      </c>
      <c r="C27" s="364"/>
      <c r="D27" s="673">
        <f>ROUND(SUM(D23:D26),1)</f>
        <v>5227.2</v>
      </c>
      <c r="E27" s="264"/>
      <c r="F27" s="673">
        <f>ROUND(SUM(F23:F26),1)</f>
        <v>2024.5</v>
      </c>
      <c r="G27" s="264"/>
      <c r="H27" s="673">
        <f>ROUND(SUM(H23:H26),1)</f>
        <v>3191.4</v>
      </c>
      <c r="I27" s="264"/>
      <c r="J27" s="673">
        <f>ROUND(SUM(J23:J26),1)</f>
        <v>0</v>
      </c>
      <c r="K27" s="264"/>
      <c r="L27" s="673">
        <f>ROUND(SUM(L23:L26),1)</f>
        <v>0</v>
      </c>
      <c r="M27" s="264"/>
      <c r="N27" s="673">
        <f>ROUND(SUM(N23:N26),1)</f>
        <v>0</v>
      </c>
      <c r="O27" s="264"/>
      <c r="P27" s="673">
        <f>ROUND(SUM(P23:P26),1)</f>
        <v>0</v>
      </c>
      <c r="Q27" s="264"/>
      <c r="R27" s="673">
        <f>ROUND(SUM(R23:R26),1)</f>
        <v>0</v>
      </c>
      <c r="S27" s="13"/>
      <c r="T27" s="673">
        <f>ROUND(SUM(T23:T26),1)</f>
        <v>0</v>
      </c>
      <c r="U27" s="264"/>
      <c r="V27" s="673">
        <f>ROUND(SUM(V23:V26),1)</f>
        <v>0</v>
      </c>
      <c r="W27" s="264"/>
      <c r="X27" s="673">
        <f>ROUND(SUM(X23:X26),1)</f>
        <v>0</v>
      </c>
      <c r="Y27" s="264"/>
      <c r="Z27" s="673">
        <f>ROUND(SUM(Z23:Z26),1)</f>
        <v>0</v>
      </c>
      <c r="AA27" s="268"/>
      <c r="AB27" s="854"/>
      <c r="AC27" s="673">
        <f>ROUND(SUM(AC23:AC26),1)</f>
        <v>10443.1</v>
      </c>
      <c r="AD27" s="264"/>
      <c r="AE27" s="523" t="s">
        <v>103</v>
      </c>
      <c r="AF27" s="673">
        <f>ROUND(SUM(AF23:AF26),1)</f>
        <v>9604.6</v>
      </c>
      <c r="AG27" s="264"/>
      <c r="AH27" s="706"/>
      <c r="AI27" s="673">
        <f>ROUND(SUM(AI23-AI24-AI25-AI26),1)</f>
        <v>838.5</v>
      </c>
      <c r="AJ27" s="264"/>
      <c r="AK27" s="923">
        <f>ROUND(SUM(+AI27/AF27),3)</f>
        <v>8.6999999999999994E-2</v>
      </c>
      <c r="AL27" s="1789"/>
    </row>
    <row r="28" spans="1:38" ht="15" customHeight="1">
      <c r="A28" s="35"/>
      <c r="B28" s="412" t="s">
        <v>354</v>
      </c>
      <c r="C28" s="364"/>
      <c r="D28" s="13"/>
      <c r="E28" s="264"/>
      <c r="F28" s="13"/>
      <c r="G28" s="264"/>
      <c r="H28" s="13"/>
      <c r="I28" s="264"/>
      <c r="J28" s="13"/>
      <c r="K28" s="264"/>
      <c r="L28" s="13"/>
      <c r="M28" s="264"/>
      <c r="N28" s="13"/>
      <c r="O28" s="264"/>
      <c r="P28" s="13"/>
      <c r="Q28" s="264"/>
      <c r="R28" s="13"/>
      <c r="S28" s="264"/>
      <c r="T28" s="13"/>
      <c r="U28" s="264"/>
      <c r="V28" s="13"/>
      <c r="W28" s="264"/>
      <c r="X28" s="13"/>
      <c r="Y28" s="264"/>
      <c r="Z28" s="13"/>
      <c r="AA28" s="268"/>
      <c r="AB28" s="854"/>
      <c r="AC28" s="13"/>
      <c r="AD28" s="264"/>
      <c r="AE28" s="523" t="s">
        <v>103</v>
      </c>
      <c r="AF28" s="13"/>
      <c r="AG28" s="264"/>
      <c r="AH28" s="706"/>
      <c r="AI28" s="13"/>
      <c r="AJ28" s="264"/>
      <c r="AK28" s="74"/>
      <c r="AL28" s="1789"/>
    </row>
    <row r="29" spans="1:38" ht="15" customHeight="1">
      <c r="A29" s="35"/>
      <c r="B29" s="284" t="s">
        <v>355</v>
      </c>
      <c r="C29" s="364"/>
      <c r="D29" s="531">
        <v>803.8</v>
      </c>
      <c r="E29" s="512"/>
      <c r="F29" s="531">
        <v>812.60000000000014</v>
      </c>
      <c r="G29" s="512"/>
      <c r="H29" s="531">
        <f>$AC29-F29-D29</f>
        <v>1018.0999999999999</v>
      </c>
      <c r="I29" s="264"/>
      <c r="J29" s="531"/>
      <c r="K29" s="553"/>
      <c r="L29" s="531"/>
      <c r="M29" s="553"/>
      <c r="N29" s="531"/>
      <c r="O29" s="553"/>
      <c r="P29" s="531"/>
      <c r="Q29" s="553"/>
      <c r="R29" s="531"/>
      <c r="S29" s="553"/>
      <c r="T29" s="531"/>
      <c r="U29" s="553"/>
      <c r="V29" s="531"/>
      <c r="W29" s="553"/>
      <c r="X29" s="531"/>
      <c r="Y29" s="553"/>
      <c r="Z29" s="531"/>
      <c r="AA29" s="289"/>
      <c r="AB29" s="524"/>
      <c r="AC29" s="1192">
        <v>2634.5</v>
      </c>
      <c r="AD29" s="264"/>
      <c r="AE29" s="524" t="s">
        <v>103</v>
      </c>
      <c r="AF29" s="1192">
        <v>2436.5</v>
      </c>
      <c r="AG29" s="264"/>
      <c r="AH29" s="706"/>
      <c r="AI29" s="264">
        <f t="shared" ref="AI29:AI35" si="2">ROUND(SUM(+AC29-AF29),1)</f>
        <v>198</v>
      </c>
      <c r="AJ29" s="264"/>
      <c r="AK29" s="266">
        <f t="shared" ref="AK29:AK37" si="3">ROUND(IF(AF29=0,0,AI29/ABS(AF29)),3)</f>
        <v>8.1000000000000003E-2</v>
      </c>
      <c r="AL29" s="1789"/>
    </row>
    <row r="30" spans="1:38" ht="15" customHeight="1">
      <c r="A30" s="35"/>
      <c r="B30" s="284" t="s">
        <v>356</v>
      </c>
      <c r="C30" s="364"/>
      <c r="D30" s="531">
        <v>0</v>
      </c>
      <c r="E30" s="512"/>
      <c r="F30" s="531">
        <v>0</v>
      </c>
      <c r="G30" s="512"/>
      <c r="H30" s="531">
        <f t="shared" ref="H30:H36" si="4">$AC30-F30-D30</f>
        <v>0</v>
      </c>
      <c r="I30" s="264"/>
      <c r="J30" s="531"/>
      <c r="K30" s="553"/>
      <c r="L30" s="531"/>
      <c r="M30" s="553"/>
      <c r="N30" s="531"/>
      <c r="O30" s="553"/>
      <c r="P30" s="531"/>
      <c r="Q30" s="553"/>
      <c r="R30" s="531"/>
      <c r="S30" s="553"/>
      <c r="T30" s="531"/>
      <c r="U30" s="553"/>
      <c r="V30" s="531"/>
      <c r="W30" s="553"/>
      <c r="X30" s="531"/>
      <c r="Y30" s="553"/>
      <c r="Z30" s="531"/>
      <c r="AA30" s="289"/>
      <c r="AB30" s="524"/>
      <c r="AC30" s="531">
        <v>0</v>
      </c>
      <c r="AD30" s="264"/>
      <c r="AE30" s="524" t="s">
        <v>103</v>
      </c>
      <c r="AF30" s="531">
        <v>0</v>
      </c>
      <c r="AG30" s="264"/>
      <c r="AH30" s="706"/>
      <c r="AI30" s="264">
        <f t="shared" si="2"/>
        <v>0</v>
      </c>
      <c r="AJ30" s="264"/>
      <c r="AK30" s="266">
        <f t="shared" si="3"/>
        <v>0</v>
      </c>
      <c r="AL30" s="1789"/>
    </row>
    <row r="31" spans="1:38" ht="15" customHeight="1">
      <c r="A31" s="35"/>
      <c r="B31" s="284" t="s">
        <v>357</v>
      </c>
      <c r="C31" s="364"/>
      <c r="D31" s="531">
        <v>22.99</v>
      </c>
      <c r="E31" s="512"/>
      <c r="F31" s="531">
        <v>15.610000000000003</v>
      </c>
      <c r="G31" s="512"/>
      <c r="H31" s="531">
        <f t="shared" si="4"/>
        <v>21.799999999999994</v>
      </c>
      <c r="I31" s="264"/>
      <c r="J31" s="531"/>
      <c r="K31" s="553"/>
      <c r="L31" s="531"/>
      <c r="M31" s="553"/>
      <c r="N31" s="531"/>
      <c r="O31" s="553"/>
      <c r="P31" s="531"/>
      <c r="Q31" s="553"/>
      <c r="R31" s="531"/>
      <c r="S31" s="553"/>
      <c r="T31" s="531"/>
      <c r="U31" s="553"/>
      <c r="V31" s="531"/>
      <c r="W31" s="553"/>
      <c r="X31" s="531"/>
      <c r="Y31" s="553"/>
      <c r="Z31" s="531"/>
      <c r="AA31" s="289"/>
      <c r="AB31" s="524"/>
      <c r="AC31" s="531">
        <v>60.4</v>
      </c>
      <c r="AD31" s="264"/>
      <c r="AE31" s="524" t="s">
        <v>103</v>
      </c>
      <c r="AF31" s="531">
        <v>62.7</v>
      </c>
      <c r="AG31" s="264"/>
      <c r="AH31" s="706"/>
      <c r="AI31" s="264">
        <f t="shared" si="2"/>
        <v>-2.2999999999999998</v>
      </c>
      <c r="AJ31" s="264"/>
      <c r="AK31" s="266">
        <f t="shared" si="3"/>
        <v>-3.6999999999999998E-2</v>
      </c>
      <c r="AL31" s="1789"/>
    </row>
    <row r="32" spans="1:38" ht="15" customHeight="1">
      <c r="A32" s="35"/>
      <c r="B32" s="284" t="s">
        <v>359</v>
      </c>
      <c r="C32" s="364"/>
      <c r="D32" s="531">
        <v>0</v>
      </c>
      <c r="E32" s="512"/>
      <c r="F32" s="531">
        <v>0</v>
      </c>
      <c r="G32" s="512"/>
      <c r="H32" s="531">
        <f t="shared" si="4"/>
        <v>0</v>
      </c>
      <c r="I32" s="264"/>
      <c r="J32" s="531"/>
      <c r="K32" s="553"/>
      <c r="L32" s="531"/>
      <c r="M32" s="553"/>
      <c r="N32" s="531"/>
      <c r="O32" s="553"/>
      <c r="P32" s="531"/>
      <c r="Q32" s="553"/>
      <c r="R32" s="531"/>
      <c r="S32" s="553"/>
      <c r="T32" s="531"/>
      <c r="U32" s="553"/>
      <c r="V32" s="531"/>
      <c r="W32" s="553"/>
      <c r="X32" s="531"/>
      <c r="Y32" s="553"/>
      <c r="Z32" s="531"/>
      <c r="AA32" s="289"/>
      <c r="AB32" s="524"/>
      <c r="AC32" s="531">
        <v>0</v>
      </c>
      <c r="AD32" s="264"/>
      <c r="AE32" s="524" t="s">
        <v>103</v>
      </c>
      <c r="AF32" s="531">
        <v>0</v>
      </c>
      <c r="AG32" s="264"/>
      <c r="AH32" s="706"/>
      <c r="AI32" s="264">
        <f t="shared" si="2"/>
        <v>0</v>
      </c>
      <c r="AJ32" s="264"/>
      <c r="AK32" s="266">
        <f>ROUND(IF(AF32=0,0,AI32/ABS(AF32)),3)</f>
        <v>0</v>
      </c>
      <c r="AL32" s="1789"/>
    </row>
    <row r="33" spans="1:38" ht="15" customHeight="1">
      <c r="A33" s="35"/>
      <c r="B33" s="421" t="s">
        <v>360</v>
      </c>
      <c r="C33" s="364"/>
      <c r="D33" s="531">
        <v>-0.4</v>
      </c>
      <c r="E33" s="512"/>
      <c r="F33" s="531">
        <v>0</v>
      </c>
      <c r="G33" s="512"/>
      <c r="H33" s="531">
        <f t="shared" si="4"/>
        <v>0.10000000000000003</v>
      </c>
      <c r="I33" s="264"/>
      <c r="J33" s="531"/>
      <c r="K33" s="553"/>
      <c r="L33" s="531"/>
      <c r="M33" s="553"/>
      <c r="N33" s="531"/>
      <c r="O33" s="553"/>
      <c r="P33" s="531"/>
      <c r="Q33" s="553"/>
      <c r="R33" s="531"/>
      <c r="S33" s="553"/>
      <c r="T33" s="531"/>
      <c r="U33" s="553"/>
      <c r="V33" s="531"/>
      <c r="W33" s="553"/>
      <c r="X33" s="531"/>
      <c r="Y33" s="553"/>
      <c r="Z33" s="531"/>
      <c r="AA33" s="289"/>
      <c r="AB33" s="524"/>
      <c r="AC33" s="531">
        <v>-0.3</v>
      </c>
      <c r="AD33" s="264"/>
      <c r="AE33" s="524" t="s">
        <v>103</v>
      </c>
      <c r="AF33" s="531">
        <v>0.4</v>
      </c>
      <c r="AG33" s="264"/>
      <c r="AH33" s="706"/>
      <c r="AI33" s="264">
        <f t="shared" ref="AI33" si="5">ROUND(SUM(+AC33-AF33),1)</f>
        <v>-0.7</v>
      </c>
      <c r="AJ33" s="264"/>
      <c r="AK33" s="542">
        <f>ROUND(IF(AF33=0,1,AI33/ABS(AF33)),3)</f>
        <v>-1.75</v>
      </c>
      <c r="AL33" s="1789"/>
    </row>
    <row r="34" spans="1:38" ht="15" customHeight="1">
      <c r="A34" s="35"/>
      <c r="B34" s="284" t="s">
        <v>361</v>
      </c>
      <c r="C34" s="364"/>
      <c r="D34" s="531">
        <v>22.1</v>
      </c>
      <c r="E34" s="512"/>
      <c r="F34" s="531">
        <v>22.1</v>
      </c>
      <c r="G34" s="512"/>
      <c r="H34" s="531">
        <f t="shared" si="4"/>
        <v>23.700000000000003</v>
      </c>
      <c r="I34" s="264"/>
      <c r="J34" s="531"/>
      <c r="K34" s="553"/>
      <c r="L34" s="531"/>
      <c r="M34" s="553"/>
      <c r="N34" s="531"/>
      <c r="O34" s="553"/>
      <c r="P34" s="531"/>
      <c r="Q34" s="553"/>
      <c r="R34" s="531"/>
      <c r="S34" s="553"/>
      <c r="T34" s="531"/>
      <c r="U34" s="553"/>
      <c r="V34" s="531"/>
      <c r="W34" s="553"/>
      <c r="X34" s="531"/>
      <c r="Y34" s="553"/>
      <c r="Z34" s="531"/>
      <c r="AA34" s="289"/>
      <c r="AB34" s="524"/>
      <c r="AC34" s="531">
        <v>67.900000000000006</v>
      </c>
      <c r="AD34" s="264"/>
      <c r="AE34" s="524" t="s">
        <v>103</v>
      </c>
      <c r="AF34" s="531">
        <v>65.5</v>
      </c>
      <c r="AG34" s="264"/>
      <c r="AH34" s="706"/>
      <c r="AI34" s="264">
        <f t="shared" si="2"/>
        <v>2.4</v>
      </c>
      <c r="AJ34" s="264"/>
      <c r="AK34" s="266">
        <f t="shared" si="3"/>
        <v>3.6999999999999998E-2</v>
      </c>
      <c r="AL34" s="1789"/>
    </row>
    <row r="35" spans="1:38" ht="15" customHeight="1">
      <c r="A35" s="35"/>
      <c r="B35" s="284" t="s">
        <v>362</v>
      </c>
      <c r="C35" s="364"/>
      <c r="D35" s="531">
        <v>0</v>
      </c>
      <c r="E35" s="512"/>
      <c r="F35" s="531">
        <v>0</v>
      </c>
      <c r="G35" s="512"/>
      <c r="H35" s="531">
        <f t="shared" si="4"/>
        <v>0</v>
      </c>
      <c r="I35" s="264"/>
      <c r="J35" s="531"/>
      <c r="K35" s="553"/>
      <c r="L35" s="531"/>
      <c r="M35" s="553"/>
      <c r="N35" s="531"/>
      <c r="O35" s="553"/>
      <c r="P35" s="531"/>
      <c r="Q35" s="553"/>
      <c r="R35" s="531"/>
      <c r="S35" s="553"/>
      <c r="T35" s="531"/>
      <c r="U35" s="553"/>
      <c r="V35" s="531"/>
      <c r="W35" s="553"/>
      <c r="X35" s="531"/>
      <c r="Y35" s="553"/>
      <c r="Z35" s="531"/>
      <c r="AA35" s="289"/>
      <c r="AB35" s="524"/>
      <c r="AC35" s="531">
        <v>0</v>
      </c>
      <c r="AD35" s="264"/>
      <c r="AE35" s="524" t="s">
        <v>103</v>
      </c>
      <c r="AF35" s="531">
        <v>0</v>
      </c>
      <c r="AG35" s="264"/>
      <c r="AH35" s="706"/>
      <c r="AI35" s="264">
        <f t="shared" si="2"/>
        <v>0</v>
      </c>
      <c r="AJ35" s="264"/>
      <c r="AK35" s="266">
        <f t="shared" si="3"/>
        <v>0</v>
      </c>
      <c r="AL35" s="1789"/>
    </row>
    <row r="36" spans="1:38" ht="15" customHeight="1">
      <c r="A36" s="35"/>
      <c r="B36" s="284" t="s">
        <v>437</v>
      </c>
      <c r="C36" s="364"/>
      <c r="D36" s="531">
        <v>0</v>
      </c>
      <c r="E36" s="512"/>
      <c r="F36" s="531">
        <v>0</v>
      </c>
      <c r="G36" s="512"/>
      <c r="H36" s="531">
        <f t="shared" si="4"/>
        <v>0</v>
      </c>
      <c r="I36" s="264"/>
      <c r="J36" s="531"/>
      <c r="K36" s="553"/>
      <c r="L36" s="531"/>
      <c r="M36" s="553"/>
      <c r="N36" s="531"/>
      <c r="O36" s="553"/>
      <c r="P36" s="531"/>
      <c r="Q36" s="553"/>
      <c r="R36" s="531"/>
      <c r="S36" s="553"/>
      <c r="T36" s="531"/>
      <c r="U36" s="553"/>
      <c r="V36" s="531"/>
      <c r="W36" s="553"/>
      <c r="X36" s="531"/>
      <c r="Y36" s="553"/>
      <c r="Z36" s="531"/>
      <c r="AA36" s="289"/>
      <c r="AB36" s="524"/>
      <c r="AC36" s="531">
        <v>0</v>
      </c>
      <c r="AD36" s="264"/>
      <c r="AE36" s="524" t="s">
        <v>103</v>
      </c>
      <c r="AF36" s="531">
        <v>0</v>
      </c>
      <c r="AG36" s="264"/>
      <c r="AH36" s="706"/>
      <c r="AI36" s="264">
        <f>ROUND(SUM(+AC36-AF36),1)</f>
        <v>0</v>
      </c>
      <c r="AJ36" s="264"/>
      <c r="AK36" s="266">
        <f>ROUND(IF(AF36=0,0,AI36/ABS(AF36)),3)</f>
        <v>0</v>
      </c>
      <c r="AL36" s="1789"/>
    </row>
    <row r="37" spans="1:38" ht="15" customHeight="1">
      <c r="A37" s="35"/>
      <c r="B37" s="284" t="s">
        <v>364</v>
      </c>
      <c r="C37" s="364"/>
      <c r="D37" s="531">
        <v>4.5999999999999996</v>
      </c>
      <c r="E37" s="512"/>
      <c r="F37" s="531">
        <v>0</v>
      </c>
      <c r="G37" s="512"/>
      <c r="H37" s="531">
        <f>$AC37-F37-D37</f>
        <v>0</v>
      </c>
      <c r="I37" s="264"/>
      <c r="J37" s="531"/>
      <c r="K37" s="553"/>
      <c r="L37" s="531"/>
      <c r="M37" s="553"/>
      <c r="N37" s="531"/>
      <c r="O37" s="553"/>
      <c r="P37" s="531"/>
      <c r="Q37" s="553"/>
      <c r="R37" s="531"/>
      <c r="S37" s="553"/>
      <c r="T37" s="531"/>
      <c r="U37" s="553"/>
      <c r="V37" s="531"/>
      <c r="W37" s="553"/>
      <c r="X37" s="531"/>
      <c r="Y37" s="553"/>
      <c r="Z37" s="531"/>
      <c r="AA37" s="289"/>
      <c r="AB37" s="524"/>
      <c r="AC37" s="531">
        <v>4.5999999999999996</v>
      </c>
      <c r="AD37" s="264"/>
      <c r="AE37" s="524" t="s">
        <v>103</v>
      </c>
      <c r="AF37" s="531">
        <v>4.9000000000000004</v>
      </c>
      <c r="AG37" s="264"/>
      <c r="AH37" s="706"/>
      <c r="AI37" s="264">
        <f t="shared" ref="AI37" si="6">ROUND(SUM(+AC37-AF37),1)</f>
        <v>-0.3</v>
      </c>
      <c r="AJ37" s="264"/>
      <c r="AK37" s="266">
        <f t="shared" si="3"/>
        <v>-6.0999999999999999E-2</v>
      </c>
      <c r="AL37" s="1789"/>
    </row>
    <row r="38" spans="1:38" s="59" customFormat="1" ht="15" customHeight="1">
      <c r="A38" s="417"/>
      <c r="B38" s="83" t="s">
        <v>365</v>
      </c>
      <c r="C38" s="57"/>
      <c r="D38" s="673">
        <f>ROUND(SUM(D29:D37),1)</f>
        <v>853.1</v>
      </c>
      <c r="E38" s="13"/>
      <c r="F38" s="673">
        <f>ROUND(SUM(F29:F37),1)</f>
        <v>850.3</v>
      </c>
      <c r="G38" s="13"/>
      <c r="H38" s="673">
        <f>ROUND(SUM(H29:H37),1)</f>
        <v>1063.7</v>
      </c>
      <c r="I38" s="13"/>
      <c r="J38" s="673">
        <f>ROUND(SUM(J29:J37),1)</f>
        <v>0</v>
      </c>
      <c r="K38" s="13"/>
      <c r="L38" s="673">
        <f>ROUND(SUM(L29:L37),1)</f>
        <v>0</v>
      </c>
      <c r="M38" s="13"/>
      <c r="N38" s="673">
        <f>ROUND(SUM(N29:N37),1)</f>
        <v>0</v>
      </c>
      <c r="O38" s="13"/>
      <c r="P38" s="673">
        <f>ROUND(SUM(P29:P37),1)</f>
        <v>0</v>
      </c>
      <c r="Q38" s="13"/>
      <c r="R38" s="673">
        <f>ROUND(SUM(R29:R37),1)</f>
        <v>0</v>
      </c>
      <c r="S38" s="13"/>
      <c r="T38" s="673">
        <f>ROUND(SUM(T29:T37),1)</f>
        <v>0</v>
      </c>
      <c r="U38" s="13"/>
      <c r="V38" s="673">
        <f>ROUND(SUM(V29:V37),1)</f>
        <v>0</v>
      </c>
      <c r="W38" s="13"/>
      <c r="X38" s="673">
        <f>ROUND(SUM(X29:X37),1)</f>
        <v>0</v>
      </c>
      <c r="Y38" s="13"/>
      <c r="Z38" s="673">
        <f>ROUND(SUM(Z29:Z37),1)</f>
        <v>0</v>
      </c>
      <c r="AA38" s="40"/>
      <c r="AB38" s="69"/>
      <c r="AC38" s="673">
        <f>ROUND(SUM(AC29:AC37),1)</f>
        <v>2767.1</v>
      </c>
      <c r="AD38" s="13"/>
      <c r="AE38" s="14"/>
      <c r="AF38" s="673">
        <f>ROUND(SUM(AF29:AF37),1)</f>
        <v>2570</v>
      </c>
      <c r="AG38" s="13"/>
      <c r="AH38" s="707"/>
      <c r="AI38" s="673">
        <f>ROUND(SUM(AI29:AI37),1)</f>
        <v>197.1</v>
      </c>
      <c r="AJ38" s="13"/>
      <c r="AK38" s="923">
        <f>ROUND(SUM(+AI38/AF38),3)</f>
        <v>7.6999999999999999E-2</v>
      </c>
      <c r="AL38" s="1789"/>
    </row>
    <row r="39" spans="1:38" s="59" customFormat="1" ht="15" customHeight="1">
      <c r="A39" s="417"/>
      <c r="B39" s="412" t="s">
        <v>366</v>
      </c>
      <c r="C39" s="57"/>
      <c r="D39" s="13"/>
      <c r="E39" s="13"/>
      <c r="F39" s="13"/>
      <c r="G39" s="13"/>
      <c r="H39" s="13"/>
      <c r="I39" s="13"/>
      <c r="J39" s="264"/>
      <c r="K39" s="13"/>
      <c r="L39" s="13"/>
      <c r="M39" s="13"/>
      <c r="N39" s="13"/>
      <c r="O39" s="13"/>
      <c r="P39" s="13"/>
      <c r="Q39" s="13"/>
      <c r="R39" s="13"/>
      <c r="S39" s="13"/>
      <c r="T39" s="13"/>
      <c r="U39" s="13"/>
      <c r="V39" s="13"/>
      <c r="W39" s="13"/>
      <c r="X39" s="13"/>
      <c r="Y39" s="13"/>
      <c r="Z39" s="13"/>
      <c r="AA39" s="40"/>
      <c r="AB39" s="69"/>
      <c r="AC39" s="13"/>
      <c r="AD39" s="13"/>
      <c r="AE39" s="14" t="s">
        <v>103</v>
      </c>
      <c r="AF39" s="13"/>
      <c r="AG39" s="13"/>
      <c r="AH39" s="707"/>
      <c r="AI39" s="13"/>
      <c r="AJ39" s="13"/>
      <c r="AK39" s="74"/>
      <c r="AL39" s="1789"/>
    </row>
    <row r="40" spans="1:38" s="59" customFormat="1" ht="15" customHeight="1">
      <c r="A40" s="417"/>
      <c r="B40" s="284" t="s">
        <v>367</v>
      </c>
      <c r="C40" s="57"/>
      <c r="D40" s="531">
        <v>755.1</v>
      </c>
      <c r="E40" s="512"/>
      <c r="F40" s="531">
        <v>73.600000000000023</v>
      </c>
      <c r="G40" s="512"/>
      <c r="H40" s="531">
        <f>$AC40-F40-D40</f>
        <v>1844.6000000000004</v>
      </c>
      <c r="I40" s="13"/>
      <c r="J40" s="531"/>
      <c r="K40" s="553"/>
      <c r="L40" s="531"/>
      <c r="M40" s="553"/>
      <c r="N40" s="531"/>
      <c r="O40" s="553"/>
      <c r="P40" s="531"/>
      <c r="Q40" s="553"/>
      <c r="R40" s="531"/>
      <c r="S40" s="553"/>
      <c r="T40" s="531"/>
      <c r="U40" s="553"/>
      <c r="V40" s="531"/>
      <c r="W40" s="553"/>
      <c r="X40" s="531"/>
      <c r="Y40" s="553"/>
      <c r="Z40" s="531"/>
      <c r="AA40" s="289"/>
      <c r="AB40" s="524"/>
      <c r="AC40" s="531">
        <v>2673.3</v>
      </c>
      <c r="AD40" s="264"/>
      <c r="AE40" s="524" t="s">
        <v>103</v>
      </c>
      <c r="AF40" s="531">
        <v>2030.6</v>
      </c>
      <c r="AG40" s="13"/>
      <c r="AH40" s="707"/>
      <c r="AI40" s="264">
        <f t="shared" ref="AI40:AI45" si="7">ROUND(SUM(+AC40-AF40),1)</f>
        <v>642.70000000000005</v>
      </c>
      <c r="AJ40" s="13"/>
      <c r="AK40" s="266">
        <f t="shared" ref="AK40:AK42" si="8">ROUND(IF(AF40=0,0,AI40/ABS(AF40)),3)</f>
        <v>0.317</v>
      </c>
      <c r="AL40" s="1789"/>
    </row>
    <row r="41" spans="1:38" s="59" customFormat="1" ht="15" customHeight="1">
      <c r="A41" s="417"/>
      <c r="B41" s="284" t="s">
        <v>368</v>
      </c>
      <c r="C41" s="57"/>
      <c r="D41" s="531">
        <v>27.8</v>
      </c>
      <c r="E41" s="512"/>
      <c r="F41" s="531">
        <v>-0.5</v>
      </c>
      <c r="G41" s="512"/>
      <c r="H41" s="531">
        <f t="shared" ref="H41:H45" si="9">$AC41-F41-D41</f>
        <v>102.90000000000002</v>
      </c>
      <c r="I41" s="13"/>
      <c r="J41" s="531"/>
      <c r="K41" s="553"/>
      <c r="L41" s="531"/>
      <c r="M41" s="553"/>
      <c r="N41" s="531"/>
      <c r="O41" s="553"/>
      <c r="P41" s="531"/>
      <c r="Q41" s="553"/>
      <c r="R41" s="531"/>
      <c r="S41" s="553"/>
      <c r="T41" s="531"/>
      <c r="U41" s="553"/>
      <c r="V41" s="531"/>
      <c r="W41" s="553"/>
      <c r="X41" s="531"/>
      <c r="Y41" s="553"/>
      <c r="Z41" s="531"/>
      <c r="AA41" s="289"/>
      <c r="AB41" s="524"/>
      <c r="AC41" s="531">
        <v>130.20000000000002</v>
      </c>
      <c r="AD41" s="264"/>
      <c r="AE41" s="524" t="s">
        <v>103</v>
      </c>
      <c r="AF41" s="531">
        <v>86.600000000000009</v>
      </c>
      <c r="AG41" s="13"/>
      <c r="AH41" s="707"/>
      <c r="AI41" s="264">
        <f t="shared" si="7"/>
        <v>43.6</v>
      </c>
      <c r="AJ41" s="13"/>
      <c r="AK41" s="542">
        <f t="shared" si="8"/>
        <v>0.503</v>
      </c>
      <c r="AL41" s="1789"/>
    </row>
    <row r="42" spans="1:38" s="59" customFormat="1" ht="15" customHeight="1">
      <c r="A42" s="417"/>
      <c r="B42" s="284" t="s">
        <v>369</v>
      </c>
      <c r="C42" s="57"/>
      <c r="D42" s="531">
        <v>81.8</v>
      </c>
      <c r="E42" s="512"/>
      <c r="F42" s="531">
        <v>37.5</v>
      </c>
      <c r="G42" s="512"/>
      <c r="H42" s="531">
        <f t="shared" si="9"/>
        <v>410.3</v>
      </c>
      <c r="I42" s="13"/>
      <c r="J42" s="531"/>
      <c r="K42" s="553"/>
      <c r="L42" s="531"/>
      <c r="M42" s="553"/>
      <c r="N42" s="531"/>
      <c r="O42" s="553"/>
      <c r="P42" s="531"/>
      <c r="Q42" s="553"/>
      <c r="R42" s="531"/>
      <c r="S42" s="553"/>
      <c r="T42" s="531"/>
      <c r="U42" s="553"/>
      <c r="V42" s="531"/>
      <c r="W42" s="553"/>
      <c r="X42" s="531"/>
      <c r="Y42" s="553"/>
      <c r="Z42" s="531"/>
      <c r="AA42" s="289"/>
      <c r="AB42" s="524"/>
      <c r="AC42" s="531">
        <v>529.6</v>
      </c>
      <c r="AD42" s="264"/>
      <c r="AE42" s="524" t="s">
        <v>103</v>
      </c>
      <c r="AF42" s="531">
        <v>515.20000000000005</v>
      </c>
      <c r="AG42" s="13"/>
      <c r="AH42" s="707"/>
      <c r="AI42" s="264">
        <f t="shared" si="7"/>
        <v>14.4</v>
      </c>
      <c r="AJ42" s="13"/>
      <c r="AK42" s="266">
        <f t="shared" si="8"/>
        <v>2.8000000000000001E-2</v>
      </c>
      <c r="AL42" s="1789"/>
    </row>
    <row r="43" spans="1:38" s="59" customFormat="1" ht="15" customHeight="1">
      <c r="A43" s="417"/>
      <c r="B43" s="284" t="s">
        <v>370</v>
      </c>
      <c r="C43" s="57"/>
      <c r="D43" s="531">
        <v>22.7</v>
      </c>
      <c r="E43" s="512"/>
      <c r="F43" s="531">
        <v>0</v>
      </c>
      <c r="G43" s="512"/>
      <c r="H43" s="531">
        <f t="shared" si="9"/>
        <v>0</v>
      </c>
      <c r="I43" s="13"/>
      <c r="J43" s="531"/>
      <c r="K43" s="553"/>
      <c r="L43" s="531"/>
      <c r="M43" s="553"/>
      <c r="N43" s="531"/>
      <c r="O43" s="553"/>
      <c r="P43" s="531"/>
      <c r="Q43" s="553"/>
      <c r="R43" s="531"/>
      <c r="S43" s="553"/>
      <c r="T43" s="531"/>
      <c r="U43" s="553"/>
      <c r="V43" s="531"/>
      <c r="W43" s="553"/>
      <c r="X43" s="531"/>
      <c r="Y43" s="553"/>
      <c r="Z43" s="531"/>
      <c r="AA43" s="289"/>
      <c r="AB43" s="524"/>
      <c r="AC43" s="531">
        <v>22.7</v>
      </c>
      <c r="AD43" s="264"/>
      <c r="AE43" s="524" t="s">
        <v>103</v>
      </c>
      <c r="AF43" s="531">
        <v>-3.6999999999999997</v>
      </c>
      <c r="AG43" s="13"/>
      <c r="AH43" s="707"/>
      <c r="AI43" s="264">
        <f t="shared" si="7"/>
        <v>26.4</v>
      </c>
      <c r="AJ43" s="13"/>
      <c r="AK43" s="266">
        <f>ROUND(IF(AF43=0,0,AI43/ABS(AF43)),3)</f>
        <v>7.1349999999999998</v>
      </c>
      <c r="AL43" s="1789"/>
    </row>
    <row r="44" spans="1:38" s="59" customFormat="1" ht="15" customHeight="1">
      <c r="A44" s="417"/>
      <c r="B44" s="284" t="s">
        <v>371</v>
      </c>
      <c r="C44" s="57"/>
      <c r="D44" s="531">
        <v>24.4</v>
      </c>
      <c r="E44" s="512"/>
      <c r="F44" s="531">
        <v>118.1</v>
      </c>
      <c r="G44" s="512"/>
      <c r="H44" s="531">
        <f t="shared" si="9"/>
        <v>2293</v>
      </c>
      <c r="I44" s="13"/>
      <c r="J44" s="531"/>
      <c r="K44" s="553"/>
      <c r="L44" s="531"/>
      <c r="M44" s="553"/>
      <c r="N44" s="531"/>
      <c r="O44" s="553"/>
      <c r="P44" s="531"/>
      <c r="Q44" s="553"/>
      <c r="R44" s="531"/>
      <c r="S44" s="553"/>
      <c r="T44" s="531"/>
      <c r="U44" s="553"/>
      <c r="V44" s="531"/>
      <c r="W44" s="553"/>
      <c r="X44" s="531"/>
      <c r="Y44" s="553"/>
      <c r="Z44" s="531"/>
      <c r="AA44" s="289"/>
      <c r="AB44" s="524"/>
      <c r="AC44" s="531">
        <v>2435.5</v>
      </c>
      <c r="AD44" s="264"/>
      <c r="AE44" s="524" t="s">
        <v>103</v>
      </c>
      <c r="AF44" s="531">
        <v>1969.4</v>
      </c>
      <c r="AG44" s="13"/>
      <c r="AH44" s="707"/>
      <c r="AI44" s="264">
        <f t="shared" si="7"/>
        <v>466.1</v>
      </c>
      <c r="AJ44" s="13"/>
      <c r="AK44" s="542">
        <f>ROUND(IF(AF44=0,1,AI44/ABS(AF44)),3)</f>
        <v>0.23699999999999999</v>
      </c>
      <c r="AL44" s="1789"/>
    </row>
    <row r="45" spans="1:38" s="59" customFormat="1" ht="15" customHeight="1">
      <c r="A45" s="417"/>
      <c r="B45" s="284" t="s">
        <v>372</v>
      </c>
      <c r="C45" s="57"/>
      <c r="D45" s="531">
        <v>0</v>
      </c>
      <c r="E45" s="512"/>
      <c r="F45" s="531">
        <v>0</v>
      </c>
      <c r="G45" s="512"/>
      <c r="H45" s="531">
        <f t="shared" si="9"/>
        <v>0</v>
      </c>
      <c r="I45" s="13"/>
      <c r="J45" s="531"/>
      <c r="K45" s="553"/>
      <c r="L45" s="531"/>
      <c r="M45" s="553"/>
      <c r="N45" s="531"/>
      <c r="O45" s="553"/>
      <c r="P45" s="531"/>
      <c r="Q45" s="553"/>
      <c r="R45" s="531"/>
      <c r="S45" s="553"/>
      <c r="T45" s="531"/>
      <c r="U45" s="553"/>
      <c r="V45" s="531"/>
      <c r="W45" s="553"/>
      <c r="X45" s="531"/>
      <c r="Y45" s="553"/>
      <c r="Z45" s="531"/>
      <c r="AA45" s="289"/>
      <c r="AB45" s="524"/>
      <c r="AC45" s="531">
        <v>0</v>
      </c>
      <c r="AD45" s="264"/>
      <c r="AE45" s="524" t="s">
        <v>103</v>
      </c>
      <c r="AF45" s="531">
        <v>0</v>
      </c>
      <c r="AG45" s="13"/>
      <c r="AH45" s="707"/>
      <c r="AI45" s="264">
        <f t="shared" si="7"/>
        <v>0</v>
      </c>
      <c r="AJ45" s="13"/>
      <c r="AK45" s="542">
        <f>ROUND(IF(AF45=0,0,AI45/ABS(AF45)),3)</f>
        <v>0</v>
      </c>
      <c r="AL45" s="1789"/>
    </row>
    <row r="46" spans="1:38" s="59" customFormat="1" ht="15" customHeight="1">
      <c r="A46" s="417"/>
      <c r="B46" s="83" t="s">
        <v>373</v>
      </c>
      <c r="C46" s="57"/>
      <c r="D46" s="673">
        <f>ROUND(SUM(D40:D45),1)</f>
        <v>911.8</v>
      </c>
      <c r="E46" s="13"/>
      <c r="F46" s="673">
        <f>ROUND(SUM(F40:F45),1)</f>
        <v>228.7</v>
      </c>
      <c r="G46" s="13"/>
      <c r="H46" s="673">
        <f>ROUND(SUM(H40:H45),1)</f>
        <v>4650.8</v>
      </c>
      <c r="I46" s="13"/>
      <c r="J46" s="673">
        <f>ROUND(SUM(J40:J45),1)</f>
        <v>0</v>
      </c>
      <c r="K46" s="13"/>
      <c r="L46" s="673">
        <f>ROUND(SUM(L40:L45),1)</f>
        <v>0</v>
      </c>
      <c r="M46" s="13"/>
      <c r="N46" s="673">
        <f>ROUND(SUM(N40:N45),1)</f>
        <v>0</v>
      </c>
      <c r="O46" s="13"/>
      <c r="P46" s="673">
        <f>ROUND(SUM(P40:P45),1)</f>
        <v>0</v>
      </c>
      <c r="Q46" s="13"/>
      <c r="R46" s="673">
        <f>ROUND(SUM(R40:R45),1)</f>
        <v>0</v>
      </c>
      <c r="S46" s="13"/>
      <c r="T46" s="673">
        <f>ROUND(SUM(T40:T45),1)</f>
        <v>0</v>
      </c>
      <c r="U46" s="13"/>
      <c r="V46" s="673">
        <f>ROUND(SUM(V40:V45),1)</f>
        <v>0</v>
      </c>
      <c r="W46" s="13"/>
      <c r="X46" s="673">
        <f>ROUND(SUM(X40:X45),1)</f>
        <v>0</v>
      </c>
      <c r="Y46" s="13"/>
      <c r="Z46" s="673">
        <f>ROUND(SUM(Z40:Z45),1)</f>
        <v>0</v>
      </c>
      <c r="AA46" s="40"/>
      <c r="AB46" s="69"/>
      <c r="AC46" s="673">
        <f>ROUND(SUM(AC40:AC45),1)</f>
        <v>5791.3</v>
      </c>
      <c r="AD46" s="13"/>
      <c r="AE46" s="14"/>
      <c r="AF46" s="673">
        <f>ROUND(SUM(AF40:AF45),1)</f>
        <v>4598.1000000000004</v>
      </c>
      <c r="AG46" s="13"/>
      <c r="AH46" s="707"/>
      <c r="AI46" s="673">
        <f>ROUND(SUM(AI40:AI45),1)</f>
        <v>1193.2</v>
      </c>
      <c r="AJ46" s="13"/>
      <c r="AK46" s="923">
        <f>ROUND(SUM(+AI46/AF46),3)</f>
        <v>0.25900000000000001</v>
      </c>
      <c r="AL46" s="1789"/>
    </row>
    <row r="47" spans="1:38" s="59" customFormat="1" ht="15" customHeight="1">
      <c r="A47" s="417"/>
      <c r="B47" s="412" t="s">
        <v>374</v>
      </c>
      <c r="C47" s="57"/>
      <c r="D47" s="13"/>
      <c r="E47" s="13"/>
      <c r="F47" s="13"/>
      <c r="G47" s="13"/>
      <c r="H47" s="13"/>
      <c r="I47" s="13"/>
      <c r="J47" s="13"/>
      <c r="K47" s="13"/>
      <c r="L47" s="13"/>
      <c r="M47" s="13"/>
      <c r="N47" s="13"/>
      <c r="O47" s="13"/>
      <c r="P47" s="13"/>
      <c r="Q47" s="13"/>
      <c r="R47" s="13"/>
      <c r="S47" s="13"/>
      <c r="T47" s="13"/>
      <c r="U47" s="13"/>
      <c r="V47" s="13"/>
      <c r="W47" s="13"/>
      <c r="X47" s="13"/>
      <c r="Y47" s="13"/>
      <c r="Z47" s="13"/>
      <c r="AA47" s="40"/>
      <c r="AB47" s="69"/>
      <c r="AC47" s="13"/>
      <c r="AD47" s="13"/>
      <c r="AE47" s="14"/>
      <c r="AF47" s="13"/>
      <c r="AG47" s="13"/>
      <c r="AH47" s="707"/>
      <c r="AI47" s="13"/>
      <c r="AJ47" s="13"/>
      <c r="AK47" s="74"/>
      <c r="AL47" s="1789"/>
    </row>
    <row r="48" spans="1:38" s="59" customFormat="1" ht="15" customHeight="1">
      <c r="A48" s="417"/>
      <c r="B48" s="284" t="s">
        <v>375</v>
      </c>
      <c r="C48" s="57"/>
      <c r="D48" s="531">
        <v>0</v>
      </c>
      <c r="E48" s="512"/>
      <c r="F48" s="531">
        <v>0</v>
      </c>
      <c r="G48" s="512"/>
      <c r="H48" s="531">
        <f>$AC48-F48-D48</f>
        <v>0</v>
      </c>
      <c r="I48" s="13"/>
      <c r="J48" s="531"/>
      <c r="K48" s="553"/>
      <c r="L48" s="531"/>
      <c r="M48" s="553"/>
      <c r="N48" s="531"/>
      <c r="O48" s="553"/>
      <c r="P48" s="531"/>
      <c r="Q48" s="553"/>
      <c r="R48" s="531"/>
      <c r="S48" s="553"/>
      <c r="T48" s="531"/>
      <c r="U48" s="553"/>
      <c r="V48" s="531"/>
      <c r="W48" s="553"/>
      <c r="X48" s="531"/>
      <c r="Y48" s="553"/>
      <c r="Z48" s="531"/>
      <c r="AA48" s="289"/>
      <c r="AB48" s="524"/>
      <c r="AC48" s="531">
        <v>0</v>
      </c>
      <c r="AD48" s="264"/>
      <c r="AE48" s="524" t="s">
        <v>103</v>
      </c>
      <c r="AF48" s="531">
        <v>0</v>
      </c>
      <c r="AG48" s="13"/>
      <c r="AH48" s="707"/>
      <c r="AI48" s="264">
        <f t="shared" ref="AI48:AI52" si="10">ROUND(SUM(+AC48-AF48),1)</f>
        <v>0</v>
      </c>
      <c r="AJ48" s="13"/>
      <c r="AK48" s="266">
        <f t="shared" ref="AK48:AK51" si="11">ROUND(IF(AF48=0,0,AI48/ABS(AF48)),3)</f>
        <v>0</v>
      </c>
      <c r="AL48" s="1789"/>
    </row>
    <row r="49" spans="1:38" s="59" customFormat="1" ht="15" customHeight="1">
      <c r="A49" s="417"/>
      <c r="B49" s="284" t="s">
        <v>376</v>
      </c>
      <c r="C49" s="57"/>
      <c r="D49" s="531">
        <v>165.8</v>
      </c>
      <c r="E49" s="512"/>
      <c r="F49" s="531">
        <v>113.10000000000002</v>
      </c>
      <c r="G49" s="512"/>
      <c r="H49" s="531">
        <f t="shared" ref="H49:H53" si="12">$AC49-F49-D49</f>
        <v>94.599999999999966</v>
      </c>
      <c r="I49" s="13"/>
      <c r="J49" s="531"/>
      <c r="K49" s="553"/>
      <c r="L49" s="531"/>
      <c r="M49" s="553"/>
      <c r="N49" s="531"/>
      <c r="O49" s="553"/>
      <c r="P49" s="531"/>
      <c r="Q49" s="553"/>
      <c r="R49" s="531"/>
      <c r="S49" s="553"/>
      <c r="T49" s="531"/>
      <c r="U49" s="553"/>
      <c r="V49" s="531"/>
      <c r="W49" s="553"/>
      <c r="X49" s="531"/>
      <c r="Y49" s="553"/>
      <c r="Z49" s="531"/>
      <c r="AA49" s="289"/>
      <c r="AB49" s="524"/>
      <c r="AC49" s="531">
        <v>373.5</v>
      </c>
      <c r="AD49" s="264"/>
      <c r="AE49" s="524" t="s">
        <v>103</v>
      </c>
      <c r="AF49" s="531">
        <v>395.3</v>
      </c>
      <c r="AG49" s="13"/>
      <c r="AH49" s="707"/>
      <c r="AI49" s="264">
        <f t="shared" si="10"/>
        <v>-21.8</v>
      </c>
      <c r="AJ49" s="13"/>
      <c r="AK49" s="266">
        <f t="shared" si="11"/>
        <v>-5.5E-2</v>
      </c>
      <c r="AL49" s="1789"/>
    </row>
    <row r="50" spans="1:38" s="59" customFormat="1" ht="15" customHeight="1">
      <c r="A50" s="417"/>
      <c r="B50" s="284" t="s">
        <v>377</v>
      </c>
      <c r="C50" s="57"/>
      <c r="D50" s="531">
        <v>1</v>
      </c>
      <c r="E50" s="512"/>
      <c r="F50" s="531">
        <v>0.8</v>
      </c>
      <c r="G50" s="512"/>
      <c r="H50" s="531">
        <f t="shared" si="12"/>
        <v>1.2000000000000002</v>
      </c>
      <c r="I50" s="13"/>
      <c r="J50" s="531"/>
      <c r="K50" s="553"/>
      <c r="L50" s="531"/>
      <c r="M50" s="553"/>
      <c r="N50" s="531"/>
      <c r="O50" s="553"/>
      <c r="P50" s="531"/>
      <c r="Q50" s="553"/>
      <c r="R50" s="531"/>
      <c r="S50" s="553"/>
      <c r="T50" s="531"/>
      <c r="U50" s="553"/>
      <c r="V50" s="531"/>
      <c r="W50" s="553"/>
      <c r="X50" s="531"/>
      <c r="Y50" s="553"/>
      <c r="Z50" s="531"/>
      <c r="AA50" s="289"/>
      <c r="AB50" s="524"/>
      <c r="AC50" s="531">
        <v>3</v>
      </c>
      <c r="AD50" s="264"/>
      <c r="AE50" s="524" t="s">
        <v>103</v>
      </c>
      <c r="AF50" s="531">
        <v>3.6</v>
      </c>
      <c r="AG50" s="13"/>
      <c r="AH50" s="707"/>
      <c r="AI50" s="264">
        <f t="shared" si="10"/>
        <v>-0.6</v>
      </c>
      <c r="AJ50" s="13"/>
      <c r="AK50" s="266">
        <f t="shared" si="11"/>
        <v>-0.16700000000000001</v>
      </c>
      <c r="AL50" s="1789"/>
    </row>
    <row r="51" spans="1:38" s="59" customFormat="1" ht="15" customHeight="1">
      <c r="A51" s="417"/>
      <c r="B51" s="284" t="s">
        <v>378</v>
      </c>
      <c r="C51" s="57"/>
      <c r="D51" s="531">
        <v>0</v>
      </c>
      <c r="E51" s="512"/>
      <c r="F51" s="531">
        <v>0</v>
      </c>
      <c r="G51" s="512"/>
      <c r="H51" s="531">
        <f t="shared" si="12"/>
        <v>0</v>
      </c>
      <c r="I51" s="13"/>
      <c r="J51" s="531"/>
      <c r="K51" s="553"/>
      <c r="L51" s="531"/>
      <c r="M51" s="553"/>
      <c r="N51" s="531"/>
      <c r="O51" s="553"/>
      <c r="P51" s="531"/>
      <c r="Q51" s="553"/>
      <c r="R51" s="531"/>
      <c r="S51" s="553"/>
      <c r="T51" s="531"/>
      <c r="U51" s="553"/>
      <c r="V51" s="531"/>
      <c r="W51" s="553"/>
      <c r="X51" s="531"/>
      <c r="Y51" s="553"/>
      <c r="Z51" s="531"/>
      <c r="AA51" s="289"/>
      <c r="AB51" s="524"/>
      <c r="AC51" s="531">
        <v>0</v>
      </c>
      <c r="AD51" s="264">
        <f>'Exhibit F'!AF1146</f>
        <v>0</v>
      </c>
      <c r="AE51" s="524" t="s">
        <v>103</v>
      </c>
      <c r="AF51" s="531">
        <v>0</v>
      </c>
      <c r="AG51" s="13"/>
      <c r="AH51" s="707"/>
      <c r="AI51" s="264">
        <f t="shared" si="10"/>
        <v>0</v>
      </c>
      <c r="AJ51" s="13"/>
      <c r="AK51" s="266">
        <f t="shared" si="11"/>
        <v>0</v>
      </c>
      <c r="AL51" s="1789"/>
    </row>
    <row r="52" spans="1:38" s="59" customFormat="1" ht="15" customHeight="1">
      <c r="A52" s="417"/>
      <c r="B52" s="284" t="s">
        <v>379</v>
      </c>
      <c r="C52" s="57"/>
      <c r="D52" s="531">
        <v>0.1</v>
      </c>
      <c r="E52" s="512"/>
      <c r="F52" s="531">
        <v>0</v>
      </c>
      <c r="G52" s="512"/>
      <c r="H52" s="531">
        <f t="shared" si="12"/>
        <v>0</v>
      </c>
      <c r="I52" s="13"/>
      <c r="J52" s="531"/>
      <c r="K52" s="553"/>
      <c r="L52" s="531"/>
      <c r="M52" s="553"/>
      <c r="N52" s="531"/>
      <c r="O52" s="553"/>
      <c r="P52" s="531"/>
      <c r="Q52" s="553"/>
      <c r="R52" s="531"/>
      <c r="S52" s="553"/>
      <c r="T52" s="531"/>
      <c r="U52" s="553"/>
      <c r="V52" s="531"/>
      <c r="W52" s="553"/>
      <c r="X52" s="531"/>
      <c r="Y52" s="553"/>
      <c r="Z52" s="531"/>
      <c r="AA52" s="289"/>
      <c r="AB52" s="524"/>
      <c r="AC52" s="531">
        <v>0.1</v>
      </c>
      <c r="AD52" s="264"/>
      <c r="AE52" s="524" t="s">
        <v>103</v>
      </c>
      <c r="AF52" s="531">
        <v>0.1</v>
      </c>
      <c r="AG52" s="13"/>
      <c r="AH52" s="707"/>
      <c r="AI52" s="264">
        <f t="shared" si="10"/>
        <v>0</v>
      </c>
      <c r="AJ52" s="13"/>
      <c r="AK52" s="266">
        <f>ROUND(IF(AF52=0,1,AI52/ABS(AF52)),3)</f>
        <v>0</v>
      </c>
      <c r="AL52" s="1789"/>
    </row>
    <row r="53" spans="1:38" s="59" customFormat="1" ht="15" customHeight="1">
      <c r="A53" s="417"/>
      <c r="B53" s="420" t="s">
        <v>380</v>
      </c>
      <c r="C53" s="291"/>
      <c r="D53" s="531">
        <v>0.1</v>
      </c>
      <c r="E53" s="512"/>
      <c r="F53" s="531">
        <v>0.1</v>
      </c>
      <c r="G53" s="512"/>
      <c r="H53" s="531">
        <f t="shared" si="12"/>
        <v>0.10000000000000003</v>
      </c>
      <c r="I53" s="291"/>
      <c r="J53" s="531"/>
      <c r="K53" s="553"/>
      <c r="L53" s="531"/>
      <c r="M53" s="553"/>
      <c r="N53" s="531"/>
      <c r="O53" s="553"/>
      <c r="P53" s="531"/>
      <c r="Q53" s="553"/>
      <c r="R53" s="531"/>
      <c r="S53" s="553"/>
      <c r="T53" s="531"/>
      <c r="U53" s="553"/>
      <c r="V53" s="531"/>
      <c r="W53" s="553"/>
      <c r="X53" s="531"/>
      <c r="Y53" s="553"/>
      <c r="Z53" s="531"/>
      <c r="AA53" s="289"/>
      <c r="AB53" s="524"/>
      <c r="AC53" s="531">
        <v>0.30000000000000004</v>
      </c>
      <c r="AD53" s="264"/>
      <c r="AE53" s="524" t="s">
        <v>103</v>
      </c>
      <c r="AF53" s="531">
        <v>0.5</v>
      </c>
      <c r="AG53" s="364"/>
      <c r="AH53" s="702"/>
      <c r="AI53" s="264">
        <f>ROUND(SUM(+AC53-AF53),1)</f>
        <v>-0.2</v>
      </c>
      <c r="AJ53" s="63"/>
      <c r="AK53" s="266">
        <f>ROUND(IF(AF53=0,1,AI53/ABS(AF53)),3)</f>
        <v>-0.4</v>
      </c>
      <c r="AL53" s="1789"/>
    </row>
    <row r="54" spans="1:38" s="59" customFormat="1" ht="15" customHeight="1">
      <c r="A54" s="417"/>
      <c r="B54" s="83" t="s">
        <v>381</v>
      </c>
      <c r="C54" s="57"/>
      <c r="D54" s="673">
        <f>ROUND(SUM(D48:D53),1)</f>
        <v>167</v>
      </c>
      <c r="E54" s="13"/>
      <c r="F54" s="673">
        <f>ROUND(SUM(F48:F53),1)</f>
        <v>114</v>
      </c>
      <c r="G54" s="13"/>
      <c r="H54" s="673">
        <f>ROUND(SUM(H48:H53),1)</f>
        <v>95.9</v>
      </c>
      <c r="I54" s="13"/>
      <c r="J54" s="673">
        <f>ROUND(SUM(J48:J53),1)</f>
        <v>0</v>
      </c>
      <c r="K54" s="13"/>
      <c r="L54" s="673">
        <f>ROUND(SUM(L48:L53),1)</f>
        <v>0</v>
      </c>
      <c r="M54" s="13"/>
      <c r="N54" s="673">
        <f>ROUND(SUM(N48:N53),1)</f>
        <v>0</v>
      </c>
      <c r="O54" s="13"/>
      <c r="P54" s="673">
        <f>ROUND(SUM(P48:P53),1)</f>
        <v>0</v>
      </c>
      <c r="Q54" s="13"/>
      <c r="R54" s="673">
        <f>ROUND(SUM(R48:R53),1)</f>
        <v>0</v>
      </c>
      <c r="S54" s="13"/>
      <c r="T54" s="673">
        <f>ROUND(SUM(T48:T53),1)</f>
        <v>0</v>
      </c>
      <c r="U54" s="13"/>
      <c r="V54" s="673">
        <f>ROUND(SUM(V48:V53),1)</f>
        <v>0</v>
      </c>
      <c r="W54" s="13"/>
      <c r="X54" s="673">
        <f>ROUND(SUM(X48:X53),1)</f>
        <v>0</v>
      </c>
      <c r="Y54" s="13"/>
      <c r="Z54" s="673">
        <f>ROUND(SUM(Z48:Z53),1)</f>
        <v>0</v>
      </c>
      <c r="AA54" s="40"/>
      <c r="AB54" s="69"/>
      <c r="AC54" s="673">
        <f>ROUND(SUM(AC48:AC53),1)</f>
        <v>376.9</v>
      </c>
      <c r="AD54" s="13"/>
      <c r="AE54" s="14"/>
      <c r="AF54" s="673">
        <f>ROUND(SUM(AF48:AF53),1)</f>
        <v>399.5</v>
      </c>
      <c r="AG54" s="13"/>
      <c r="AH54" s="707"/>
      <c r="AI54" s="673">
        <f>ROUND(SUM(AI48:AI53),1)</f>
        <v>-22.6</v>
      </c>
      <c r="AJ54" s="13"/>
      <c r="AK54" s="923">
        <f>ROUND(SUM(+AI54/AF54),3)</f>
        <v>-5.7000000000000002E-2</v>
      </c>
      <c r="AL54" s="1789"/>
    </row>
    <row r="55" spans="1:38" s="59" customFormat="1" ht="15" customHeight="1">
      <c r="A55" s="417"/>
      <c r="B55" s="83"/>
      <c r="C55" s="57"/>
      <c r="D55" s="13"/>
      <c r="E55" s="13"/>
      <c r="F55" s="13"/>
      <c r="G55" s="13"/>
      <c r="H55" s="13"/>
      <c r="I55" s="13"/>
      <c r="J55" s="13"/>
      <c r="K55" s="13"/>
      <c r="L55" s="13"/>
      <c r="M55" s="13"/>
      <c r="N55" s="13"/>
      <c r="O55" s="13"/>
      <c r="P55" s="13"/>
      <c r="Q55" s="13"/>
      <c r="R55" s="13"/>
      <c r="S55" s="13"/>
      <c r="T55" s="13"/>
      <c r="U55" s="13"/>
      <c r="V55" s="13"/>
      <c r="W55" s="13"/>
      <c r="X55" s="13"/>
      <c r="Y55" s="13"/>
      <c r="Z55" s="13"/>
      <c r="AA55" s="40"/>
      <c r="AB55" s="69"/>
      <c r="AC55" s="13"/>
      <c r="AD55" s="13"/>
      <c r="AE55" s="14"/>
      <c r="AF55" s="13"/>
      <c r="AG55" s="13"/>
      <c r="AH55" s="707"/>
      <c r="AI55" s="13"/>
      <c r="AJ55" s="13"/>
      <c r="AK55" s="74"/>
      <c r="AL55" s="1789"/>
    </row>
    <row r="56" spans="1:38" ht="15" customHeight="1">
      <c r="A56" s="35"/>
      <c r="B56" s="83" t="s">
        <v>382</v>
      </c>
      <c r="C56" s="364"/>
      <c r="D56" s="708">
        <f>ROUND(SUM(D27+D38+D46+D54),1)</f>
        <v>7159.1</v>
      </c>
      <c r="E56" s="264"/>
      <c r="F56" s="708">
        <f>ROUND(SUM(F27+F38+F46+F54),1)</f>
        <v>3217.5</v>
      </c>
      <c r="G56" s="264"/>
      <c r="H56" s="708">
        <f>ROUND(SUM(H27+H38+H46+H54),1)</f>
        <v>9001.7999999999993</v>
      </c>
      <c r="I56" s="264"/>
      <c r="J56" s="708">
        <f>ROUND(SUM(J27+J38+J46+J54),1)</f>
        <v>0</v>
      </c>
      <c r="K56" s="264"/>
      <c r="L56" s="1018">
        <f>ROUND(SUM(L27+L38+L46+L54),1)</f>
        <v>0</v>
      </c>
      <c r="M56" s="264"/>
      <c r="N56" s="1018">
        <f>ROUND(SUM(N27+N38+N46+N54),1)</f>
        <v>0</v>
      </c>
      <c r="O56" s="264"/>
      <c r="P56" s="1018">
        <f>ROUND(SUM(P27+P38+P46+P54),1)</f>
        <v>0</v>
      </c>
      <c r="Q56" s="264"/>
      <c r="R56" s="1018">
        <f>ROUND(SUM(R27+R38+R46+R54),1)</f>
        <v>0</v>
      </c>
      <c r="S56" s="670"/>
      <c r="T56" s="1018">
        <f>ROUND(SUM(T27+T38+T46+T54),1)</f>
        <v>0</v>
      </c>
      <c r="U56" s="264"/>
      <c r="V56" s="1018">
        <f>ROUND(SUM(V27+V38+V46+V54),1)</f>
        <v>0</v>
      </c>
      <c r="W56" s="264"/>
      <c r="X56" s="1018">
        <f>ROUND(SUM(X27+X38+X46+X54),1)</f>
        <v>0</v>
      </c>
      <c r="Y56" s="264"/>
      <c r="Z56" s="1018">
        <f>ROUND(SUM(Z27+Z38+Z46+Z54),1)</f>
        <v>0</v>
      </c>
      <c r="AA56" s="268"/>
      <c r="AB56" s="854"/>
      <c r="AC56" s="708">
        <f>ROUND(SUM(AC27+AC38+AC46+AC54),1)</f>
        <v>19378.400000000001</v>
      </c>
      <c r="AD56" s="264"/>
      <c r="AE56" s="523"/>
      <c r="AF56" s="708">
        <f>ROUND(SUM(AF27+AF38+AF46+AF54),1)</f>
        <v>17172.2</v>
      </c>
      <c r="AG56" s="264"/>
      <c r="AH56" s="706"/>
      <c r="AI56" s="1018">
        <f>ROUND(SUM(AI27+AI38+AI46+AI54),1)</f>
        <v>2206.1999999999998</v>
      </c>
      <c r="AJ56" s="264"/>
      <c r="AK56" s="368">
        <f>ROUND(SUM(+AI56/AF56),3)</f>
        <v>0.128</v>
      </c>
      <c r="AL56" s="1789"/>
    </row>
    <row r="57" spans="1:38" ht="8.25" customHeight="1">
      <c r="A57" s="35"/>
      <c r="B57" s="291"/>
      <c r="C57" s="3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8"/>
      <c r="AB57" s="854"/>
      <c r="AC57" s="264"/>
      <c r="AD57" s="264"/>
      <c r="AE57" s="523"/>
      <c r="AF57" s="264"/>
      <c r="AG57" s="264"/>
      <c r="AH57" s="706"/>
      <c r="AI57" s="264"/>
      <c r="AJ57" s="264"/>
      <c r="AK57" s="283"/>
      <c r="AL57" s="1789"/>
    </row>
    <row r="58" spans="1:38" ht="15" customHeight="1">
      <c r="A58" s="35"/>
      <c r="B58" s="1216" t="s">
        <v>383</v>
      </c>
      <c r="C58" s="366"/>
      <c r="D58" s="264"/>
      <c r="E58" s="1114"/>
      <c r="F58" s="264"/>
      <c r="G58" s="1114"/>
      <c r="H58" s="264"/>
      <c r="I58" s="264"/>
      <c r="J58" s="264"/>
      <c r="K58" s="264"/>
      <c r="L58" s="264"/>
      <c r="M58" s="264"/>
      <c r="N58" s="264"/>
      <c r="O58" s="264"/>
      <c r="P58" s="264"/>
      <c r="Q58" s="264"/>
      <c r="R58" s="264"/>
      <c r="S58" s="264"/>
      <c r="T58" s="264"/>
      <c r="U58" s="264"/>
      <c r="V58" s="264"/>
      <c r="W58" s="264"/>
      <c r="X58" s="264"/>
      <c r="Y58" s="264"/>
      <c r="Z58" s="264"/>
      <c r="AA58" s="268"/>
      <c r="AB58" s="854"/>
      <c r="AC58" s="264"/>
      <c r="AD58" s="264"/>
      <c r="AE58" s="523"/>
      <c r="AF58" s="264"/>
      <c r="AG58" s="264"/>
      <c r="AH58" s="706"/>
      <c r="AI58" s="264"/>
      <c r="AJ58" s="264"/>
      <c r="AK58" s="283"/>
      <c r="AL58" s="1789"/>
    </row>
    <row r="59" spans="1:38" ht="15" customHeight="1">
      <c r="A59" s="35"/>
      <c r="B59" s="350" t="s">
        <v>384</v>
      </c>
      <c r="C59" s="366"/>
      <c r="D59" s="264"/>
      <c r="E59" s="1114"/>
      <c r="F59" s="264"/>
      <c r="G59" s="1114"/>
      <c r="H59" s="264"/>
      <c r="I59" s="264"/>
      <c r="J59" s="264"/>
      <c r="K59" s="264"/>
      <c r="L59" s="264"/>
      <c r="M59" s="264"/>
      <c r="N59" s="264"/>
      <c r="O59" s="264"/>
      <c r="P59" s="264"/>
      <c r="Q59" s="264"/>
      <c r="R59" s="264"/>
      <c r="S59" s="264"/>
      <c r="T59" s="264"/>
      <c r="U59" s="264"/>
      <c r="V59" s="264"/>
      <c r="W59" s="264"/>
      <c r="X59" s="264"/>
      <c r="Y59" s="264"/>
      <c r="Z59" s="264"/>
      <c r="AA59" s="268"/>
      <c r="AB59" s="1023"/>
      <c r="AC59" s="264"/>
      <c r="AD59" s="264"/>
      <c r="AE59" s="523"/>
      <c r="AF59" s="264"/>
      <c r="AG59" s="264"/>
      <c r="AH59" s="706"/>
      <c r="AI59" s="264"/>
      <c r="AJ59" s="264"/>
      <c r="AK59" s="283"/>
      <c r="AL59" s="1789"/>
    </row>
    <row r="60" spans="1:38" ht="15" customHeight="1">
      <c r="A60" s="35"/>
      <c r="B60" s="350" t="s">
        <v>385</v>
      </c>
      <c r="C60" s="350"/>
      <c r="D60" s="531">
        <v>0.9</v>
      </c>
      <c r="E60" s="512"/>
      <c r="F60" s="531">
        <v>0</v>
      </c>
      <c r="G60" s="512"/>
      <c r="H60" s="531">
        <f>$AC60-F60-D60</f>
        <v>0</v>
      </c>
      <c r="I60" s="264"/>
      <c r="J60" s="531"/>
      <c r="K60" s="553"/>
      <c r="L60" s="531"/>
      <c r="M60" s="553"/>
      <c r="N60" s="531"/>
      <c r="O60" s="553"/>
      <c r="P60" s="531"/>
      <c r="Q60" s="553"/>
      <c r="R60" s="531"/>
      <c r="S60" s="553"/>
      <c r="T60" s="531"/>
      <c r="U60" s="553"/>
      <c r="V60" s="531"/>
      <c r="W60" s="553"/>
      <c r="X60" s="531"/>
      <c r="Y60" s="553"/>
      <c r="Z60" s="531"/>
      <c r="AA60" s="289"/>
      <c r="AB60" s="524"/>
      <c r="AC60" s="531">
        <v>0.9</v>
      </c>
      <c r="AD60" s="264"/>
      <c r="AE60" s="524" t="s">
        <v>103</v>
      </c>
      <c r="AF60" s="531">
        <v>0.6</v>
      </c>
      <c r="AG60" s="287"/>
      <c r="AH60" s="709"/>
      <c r="AI60" s="264">
        <f>ROUND(SUM(+AC60-AF60),1)</f>
        <v>0.3</v>
      </c>
      <c r="AJ60" s="264"/>
      <c r="AK60" s="266">
        <f>ROUND(IF(AF60=0,1,AI60/ABS(AF60)),3)</f>
        <v>0.5</v>
      </c>
      <c r="AL60" s="1789"/>
    </row>
    <row r="61" spans="1:38" ht="15" customHeight="1">
      <c r="A61" s="35"/>
      <c r="B61" s="350" t="s">
        <v>386</v>
      </c>
      <c r="C61" s="350"/>
      <c r="D61" s="531">
        <v>2.8</v>
      </c>
      <c r="E61" s="512"/>
      <c r="F61" s="531">
        <v>-0.29999999999999982</v>
      </c>
      <c r="G61" s="512"/>
      <c r="H61" s="531">
        <f t="shared" ref="H61:H96" si="13">$AC61-F61-D61</f>
        <v>10.399999999999999</v>
      </c>
      <c r="I61" s="264"/>
      <c r="J61" s="531"/>
      <c r="K61" s="553"/>
      <c r="L61" s="531"/>
      <c r="M61" s="553"/>
      <c r="N61" s="531"/>
      <c r="O61" s="553"/>
      <c r="P61" s="531"/>
      <c r="Q61" s="553"/>
      <c r="R61" s="531"/>
      <c r="S61" s="553"/>
      <c r="T61" s="531"/>
      <c r="U61" s="553"/>
      <c r="V61" s="531"/>
      <c r="W61" s="553"/>
      <c r="X61" s="531"/>
      <c r="Y61" s="553"/>
      <c r="Z61" s="531"/>
      <c r="AA61" s="289"/>
      <c r="AB61" s="524"/>
      <c r="AC61" s="531">
        <v>12.9</v>
      </c>
      <c r="AD61" s="264"/>
      <c r="AE61" s="524" t="s">
        <v>103</v>
      </c>
      <c r="AF61" s="531">
        <v>10.6</v>
      </c>
      <c r="AG61" s="264"/>
      <c r="AH61" s="706"/>
      <c r="AI61" s="264">
        <f>ROUND(SUM(+AC61-AF61),1)</f>
        <v>2.2999999999999998</v>
      </c>
      <c r="AJ61" s="264"/>
      <c r="AK61" s="542">
        <f>ROUND(IF(AF61=0,0,AI61/ABS(AF61)),3)</f>
        <v>0.217</v>
      </c>
      <c r="AL61" s="1789"/>
    </row>
    <row r="62" spans="1:38" ht="15" customHeight="1">
      <c r="A62" s="35"/>
      <c r="B62" s="350" t="s">
        <v>387</v>
      </c>
      <c r="C62" s="350"/>
      <c r="D62" s="531"/>
      <c r="E62" s="512"/>
      <c r="F62" s="531"/>
      <c r="G62" s="512"/>
      <c r="H62" s="531"/>
      <c r="I62" s="264"/>
      <c r="J62" s="531"/>
      <c r="K62" s="264"/>
      <c r="L62" s="531"/>
      <c r="M62" s="264"/>
      <c r="N62" s="531"/>
      <c r="O62" s="264"/>
      <c r="P62" s="531"/>
      <c r="Q62" s="264"/>
      <c r="R62" s="531"/>
      <c r="S62" s="264"/>
      <c r="T62" s="531"/>
      <c r="U62" s="264"/>
      <c r="V62" s="531"/>
      <c r="W62" s="264"/>
      <c r="X62" s="531"/>
      <c r="Y62" s="264"/>
      <c r="Z62" s="531"/>
      <c r="AA62" s="268"/>
      <c r="AB62" s="1023"/>
      <c r="AC62" s="698" t="s">
        <v>103</v>
      </c>
      <c r="AD62" s="264"/>
      <c r="AE62" s="524"/>
      <c r="AF62" s="698" t="s">
        <v>103</v>
      </c>
      <c r="AG62" s="264"/>
      <c r="AH62" s="706"/>
      <c r="AI62" s="264"/>
      <c r="AJ62" s="264"/>
      <c r="AK62" s="283"/>
      <c r="AL62" s="1789"/>
    </row>
    <row r="63" spans="1:38" ht="15" customHeight="1">
      <c r="A63" s="35"/>
      <c r="B63" s="350" t="s">
        <v>388</v>
      </c>
      <c r="C63" s="350"/>
      <c r="D63" s="531">
        <v>0</v>
      </c>
      <c r="E63" s="512"/>
      <c r="F63" s="531">
        <v>0</v>
      </c>
      <c r="G63" s="512"/>
      <c r="H63" s="531">
        <f t="shared" si="13"/>
        <v>0</v>
      </c>
      <c r="I63" s="264"/>
      <c r="J63" s="531"/>
      <c r="K63" s="553"/>
      <c r="L63" s="531"/>
      <c r="M63" s="553"/>
      <c r="N63" s="531"/>
      <c r="O63" s="553"/>
      <c r="P63" s="531"/>
      <c r="Q63" s="553"/>
      <c r="R63" s="531"/>
      <c r="S63" s="553"/>
      <c r="T63" s="531"/>
      <c r="U63" s="553"/>
      <c r="V63" s="531"/>
      <c r="W63" s="553"/>
      <c r="X63" s="531"/>
      <c r="Y63" s="553"/>
      <c r="Z63" s="531"/>
      <c r="AA63" s="289"/>
      <c r="AB63" s="524"/>
      <c r="AC63" s="531">
        <v>0</v>
      </c>
      <c r="AD63" s="264"/>
      <c r="AE63" s="524" t="s">
        <v>103</v>
      </c>
      <c r="AF63" s="531">
        <v>-1.5</v>
      </c>
      <c r="AG63" s="287"/>
      <c r="AH63" s="709"/>
      <c r="AI63" s="264">
        <f>ROUND(SUM(+AC63-AF63),1)</f>
        <v>1.5</v>
      </c>
      <c r="AJ63" s="264"/>
      <c r="AK63" s="542">
        <f>ROUND(IF(AF63=0,0,AI63/ABS(AF63)),3)</f>
        <v>1</v>
      </c>
      <c r="AL63" s="1789"/>
    </row>
    <row r="64" spans="1:38" ht="15" customHeight="1">
      <c r="A64" s="35"/>
      <c r="B64" s="350" t="s">
        <v>389</v>
      </c>
      <c r="C64" s="350"/>
      <c r="D64" s="531">
        <v>2.7</v>
      </c>
      <c r="E64" s="512"/>
      <c r="F64" s="531">
        <v>2.3999999999999995</v>
      </c>
      <c r="G64" s="512"/>
      <c r="H64" s="531">
        <f t="shared" si="13"/>
        <v>1.9000000000000004</v>
      </c>
      <c r="I64" s="264"/>
      <c r="J64" s="531"/>
      <c r="K64" s="553"/>
      <c r="L64" s="531"/>
      <c r="M64" s="553"/>
      <c r="N64" s="531"/>
      <c r="O64" s="553"/>
      <c r="P64" s="531"/>
      <c r="Q64" s="553"/>
      <c r="R64" s="531"/>
      <c r="S64" s="553"/>
      <c r="T64" s="531"/>
      <c r="U64" s="553"/>
      <c r="V64" s="531"/>
      <c r="W64" s="553"/>
      <c r="X64" s="531"/>
      <c r="Y64" s="553"/>
      <c r="Z64" s="531"/>
      <c r="AA64" s="289"/>
      <c r="AB64" s="524"/>
      <c r="AC64" s="531">
        <v>7</v>
      </c>
      <c r="AD64" s="264"/>
      <c r="AE64" s="524" t="s">
        <v>103</v>
      </c>
      <c r="AF64" s="531">
        <v>7.7</v>
      </c>
      <c r="AG64" s="287"/>
      <c r="AH64" s="709"/>
      <c r="AI64" s="264">
        <f>ROUND(SUM(+AC64-AF64),1)</f>
        <v>-0.7</v>
      </c>
      <c r="AJ64" s="264"/>
      <c r="AK64" s="266">
        <f>ROUND(IF(AF64=0,1,AI64/ABS(AF64)),3)</f>
        <v>-9.0999999999999998E-2</v>
      </c>
      <c r="AL64" s="1789"/>
    </row>
    <row r="65" spans="1:38" ht="15" customHeight="1">
      <c r="A65" s="35"/>
      <c r="B65" s="350" t="s">
        <v>390</v>
      </c>
      <c r="C65" s="350"/>
      <c r="D65" s="531">
        <v>0</v>
      </c>
      <c r="E65" s="512"/>
      <c r="F65" s="531">
        <v>0</v>
      </c>
      <c r="G65" s="512"/>
      <c r="H65" s="531">
        <f t="shared" si="13"/>
        <v>0</v>
      </c>
      <c r="I65" s="264"/>
      <c r="J65" s="531"/>
      <c r="K65" s="553"/>
      <c r="L65" s="531"/>
      <c r="M65" s="553"/>
      <c r="N65" s="531"/>
      <c r="O65" s="553"/>
      <c r="P65" s="531"/>
      <c r="Q65" s="553"/>
      <c r="R65" s="531"/>
      <c r="S65" s="553"/>
      <c r="T65" s="531"/>
      <c r="U65" s="553"/>
      <c r="V65" s="531"/>
      <c r="W65" s="553"/>
      <c r="X65" s="531"/>
      <c r="Y65" s="553"/>
      <c r="Z65" s="531"/>
      <c r="AA65" s="289"/>
      <c r="AB65" s="524"/>
      <c r="AC65" s="531">
        <v>0</v>
      </c>
      <c r="AD65" s="264"/>
      <c r="AE65" s="524" t="s">
        <v>103</v>
      </c>
      <c r="AF65" s="531">
        <v>0</v>
      </c>
      <c r="AG65" s="287"/>
      <c r="AH65" s="709"/>
      <c r="AI65" s="264">
        <f>ROUND(SUM(+AC65-AF65),1)</f>
        <v>0</v>
      </c>
      <c r="AJ65" s="264"/>
      <c r="AK65" s="266">
        <f>ROUND(IF(AF65=0,0,AI65/ABS(AF65)),3)</f>
        <v>0</v>
      </c>
      <c r="AL65" s="1789"/>
    </row>
    <row r="66" spans="1:38" ht="15">
      <c r="A66" s="35"/>
      <c r="B66" s="350" t="s">
        <v>391</v>
      </c>
      <c r="C66" s="350"/>
      <c r="D66" s="531">
        <v>0</v>
      </c>
      <c r="E66" s="512"/>
      <c r="F66" s="531">
        <v>0</v>
      </c>
      <c r="G66" s="512"/>
      <c r="H66" s="531">
        <f t="shared" si="13"/>
        <v>0</v>
      </c>
      <c r="I66" s="264"/>
      <c r="J66" s="531"/>
      <c r="K66" s="553"/>
      <c r="L66" s="531"/>
      <c r="M66" s="553"/>
      <c r="N66" s="531"/>
      <c r="O66" s="553"/>
      <c r="P66" s="531"/>
      <c r="Q66" s="553"/>
      <c r="R66" s="531"/>
      <c r="S66" s="553"/>
      <c r="T66" s="531"/>
      <c r="U66" s="553"/>
      <c r="V66" s="531"/>
      <c r="W66" s="553"/>
      <c r="X66" s="531"/>
      <c r="Y66" s="553"/>
      <c r="Z66" s="531"/>
      <c r="AA66" s="289"/>
      <c r="AB66" s="524"/>
      <c r="AC66" s="531">
        <v>0</v>
      </c>
      <c r="AD66" s="264"/>
      <c r="AE66" s="524" t="s">
        <v>103</v>
      </c>
      <c r="AF66" s="531">
        <v>0</v>
      </c>
      <c r="AG66" s="287"/>
      <c r="AH66" s="709"/>
      <c r="AI66" s="264">
        <f>ROUND(SUM(+AC66-AF66),1)</f>
        <v>0</v>
      </c>
      <c r="AJ66" s="264"/>
      <c r="AK66" s="542">
        <f>ROUND(IF(AF66=0,0,AI66/ABS(AF66)),3)</f>
        <v>0</v>
      </c>
      <c r="AL66" s="1789"/>
    </row>
    <row r="67" spans="1:38" ht="15" customHeight="1">
      <c r="A67" s="35"/>
      <c r="B67" s="350" t="s">
        <v>392</v>
      </c>
      <c r="C67" s="350"/>
      <c r="D67" s="531"/>
      <c r="E67" s="512"/>
      <c r="F67" s="531"/>
      <c r="G67" s="512"/>
      <c r="H67" s="531"/>
      <c r="I67" s="264"/>
      <c r="J67" s="531"/>
      <c r="K67" s="264"/>
      <c r="L67" s="531"/>
      <c r="M67" s="264"/>
      <c r="N67" s="531"/>
      <c r="O67" s="264"/>
      <c r="P67" s="531"/>
      <c r="Q67" s="264"/>
      <c r="R67" s="531"/>
      <c r="S67" s="264"/>
      <c r="T67" s="531"/>
      <c r="U67" s="264"/>
      <c r="V67" s="531"/>
      <c r="W67" s="264"/>
      <c r="X67" s="531"/>
      <c r="Y67" s="264"/>
      <c r="Z67" s="531"/>
      <c r="AA67" s="268"/>
      <c r="AB67" s="1023"/>
      <c r="AC67" s="698" t="s">
        <v>103</v>
      </c>
      <c r="AD67" s="264"/>
      <c r="AE67" s="524"/>
      <c r="AF67" s="698" t="s">
        <v>103</v>
      </c>
      <c r="AG67" s="264"/>
      <c r="AH67" s="706"/>
      <c r="AI67" s="264"/>
      <c r="AJ67" s="264"/>
      <c r="AK67" s="283"/>
      <c r="AL67" s="1789"/>
    </row>
    <row r="68" spans="1:38" ht="15" customHeight="1">
      <c r="A68" s="35"/>
      <c r="B68" s="350" t="s">
        <v>393</v>
      </c>
      <c r="C68" s="350"/>
      <c r="D68" s="531">
        <v>5.4</v>
      </c>
      <c r="E68" s="512"/>
      <c r="F68" s="531">
        <v>4.9000000000000004</v>
      </c>
      <c r="G68" s="512"/>
      <c r="H68" s="531">
        <f t="shared" si="13"/>
        <v>5.8999999999999986</v>
      </c>
      <c r="I68" s="264"/>
      <c r="J68" s="531"/>
      <c r="K68" s="553"/>
      <c r="L68" s="531"/>
      <c r="M68" s="553"/>
      <c r="N68" s="531"/>
      <c r="O68" s="553"/>
      <c r="P68" s="531"/>
      <c r="Q68" s="553"/>
      <c r="R68" s="531"/>
      <c r="S68" s="553"/>
      <c r="T68" s="531"/>
      <c r="U68" s="553"/>
      <c r="V68" s="531"/>
      <c r="W68" s="553"/>
      <c r="X68" s="531"/>
      <c r="Y68" s="553"/>
      <c r="Z68" s="531"/>
      <c r="AA68" s="289"/>
      <c r="AB68" s="524"/>
      <c r="AC68" s="531">
        <v>16.2</v>
      </c>
      <c r="AD68" s="264"/>
      <c r="AE68" s="524" t="s">
        <v>103</v>
      </c>
      <c r="AF68" s="531">
        <v>12.6</v>
      </c>
      <c r="AG68" s="264"/>
      <c r="AH68" s="706"/>
      <c r="AI68" s="264">
        <f t="shared" ref="AI68:AI77" si="14">ROUND(SUM(+AC68-AF68),1)</f>
        <v>3.6</v>
      </c>
      <c r="AJ68" s="264"/>
      <c r="AK68" s="266">
        <f>ROUND(IF(AF68=0,0,AI68/ABS(AF68)),3)</f>
        <v>0.28599999999999998</v>
      </c>
      <c r="AL68" s="1789"/>
    </row>
    <row r="69" spans="1:38" ht="15" customHeight="1">
      <c r="A69" s="35"/>
      <c r="B69" s="350" t="s">
        <v>394</v>
      </c>
      <c r="C69" s="350"/>
      <c r="D69" s="531">
        <v>0</v>
      </c>
      <c r="E69" s="512"/>
      <c r="F69" s="531">
        <v>0</v>
      </c>
      <c r="G69" s="512"/>
      <c r="H69" s="531">
        <f t="shared" si="13"/>
        <v>0</v>
      </c>
      <c r="I69" s="264"/>
      <c r="J69" s="531"/>
      <c r="K69" s="553"/>
      <c r="L69" s="531"/>
      <c r="M69" s="553"/>
      <c r="N69" s="531"/>
      <c r="O69" s="553"/>
      <c r="P69" s="531"/>
      <c r="Q69" s="553"/>
      <c r="R69" s="531"/>
      <c r="S69" s="553"/>
      <c r="T69" s="531"/>
      <c r="U69" s="553"/>
      <c r="V69" s="531"/>
      <c r="W69" s="553"/>
      <c r="X69" s="531"/>
      <c r="Y69" s="553"/>
      <c r="Z69" s="531"/>
      <c r="AA69" s="289"/>
      <c r="AB69" s="524"/>
      <c r="AC69" s="531">
        <v>0</v>
      </c>
      <c r="AD69" s="264"/>
      <c r="AE69" s="524" t="s">
        <v>103</v>
      </c>
      <c r="AF69" s="531">
        <v>0</v>
      </c>
      <c r="AG69" s="264"/>
      <c r="AH69" s="706"/>
      <c r="AI69" s="264">
        <f>ROUND(SUM(+AC69-AF69),1)</f>
        <v>0</v>
      </c>
      <c r="AJ69" s="264"/>
      <c r="AK69" s="266">
        <f>ROUND(IF(AF69=0,0,AI69/ABS(AF69)),3)</f>
        <v>0</v>
      </c>
      <c r="AL69" s="1789"/>
    </row>
    <row r="70" spans="1:38" ht="15" customHeight="1">
      <c r="A70" s="35"/>
      <c r="B70" s="350" t="s">
        <v>395</v>
      </c>
      <c r="C70" s="350"/>
      <c r="D70" s="531">
        <v>32</v>
      </c>
      <c r="E70" s="512"/>
      <c r="F70" s="531">
        <v>9.2999999999999972</v>
      </c>
      <c r="G70" s="512"/>
      <c r="H70" s="531">
        <f t="shared" si="13"/>
        <v>26.400000000000006</v>
      </c>
      <c r="I70" s="264"/>
      <c r="J70" s="531"/>
      <c r="K70" s="553"/>
      <c r="L70" s="531"/>
      <c r="M70" s="553"/>
      <c r="N70" s="531"/>
      <c r="O70" s="553"/>
      <c r="P70" s="531"/>
      <c r="Q70" s="553"/>
      <c r="R70" s="531"/>
      <c r="S70" s="553"/>
      <c r="T70" s="531"/>
      <c r="U70" s="553"/>
      <c r="V70" s="531"/>
      <c r="W70" s="553"/>
      <c r="X70" s="531"/>
      <c r="Y70" s="553"/>
      <c r="Z70" s="531"/>
      <c r="AA70" s="289"/>
      <c r="AB70" s="524"/>
      <c r="AC70" s="531">
        <v>67.7</v>
      </c>
      <c r="AD70" s="264"/>
      <c r="AE70" s="524" t="s">
        <v>103</v>
      </c>
      <c r="AF70" s="531">
        <v>54.6</v>
      </c>
      <c r="AG70" s="287"/>
      <c r="AH70" s="709"/>
      <c r="AI70" s="264">
        <f t="shared" si="14"/>
        <v>13.1</v>
      </c>
      <c r="AJ70" s="264"/>
      <c r="AK70" s="266">
        <f>ROUND(IF(AF70=0,0,AI70/ABS(AF70)),3)</f>
        <v>0.24</v>
      </c>
      <c r="AL70" s="1789"/>
    </row>
    <row r="71" spans="1:38" ht="15" customHeight="1">
      <c r="A71" s="35"/>
      <c r="B71" s="350" t="s">
        <v>396</v>
      </c>
      <c r="C71" s="350"/>
      <c r="D71" s="531">
        <v>29.7</v>
      </c>
      <c r="E71" s="512"/>
      <c r="F71" s="531">
        <v>22.000000000000004</v>
      </c>
      <c r="G71" s="512"/>
      <c r="H71" s="531">
        <f t="shared" si="13"/>
        <v>20.3</v>
      </c>
      <c r="I71" s="264"/>
      <c r="J71" s="531"/>
      <c r="K71" s="553"/>
      <c r="L71" s="531"/>
      <c r="M71" s="553"/>
      <c r="N71" s="531"/>
      <c r="O71" s="553"/>
      <c r="P71" s="531"/>
      <c r="Q71" s="553"/>
      <c r="R71" s="531"/>
      <c r="S71" s="553"/>
      <c r="T71" s="531"/>
      <c r="U71" s="553"/>
      <c r="V71" s="531"/>
      <c r="W71" s="553"/>
      <c r="X71" s="531"/>
      <c r="Y71" s="553"/>
      <c r="Z71" s="531"/>
      <c r="AA71" s="289"/>
      <c r="AB71" s="524"/>
      <c r="AC71" s="531">
        <v>72</v>
      </c>
      <c r="AD71" s="264"/>
      <c r="AE71" s="524" t="s">
        <v>103</v>
      </c>
      <c r="AF71" s="531">
        <v>48.9</v>
      </c>
      <c r="AG71" s="287"/>
      <c r="AH71" s="709"/>
      <c r="AI71" s="264">
        <f t="shared" si="14"/>
        <v>23.1</v>
      </c>
      <c r="AJ71" s="264"/>
      <c r="AK71" s="542">
        <f>ROUND(IF(AF71=0,0,AI71/ABS(AF71)),3)</f>
        <v>0.47199999999999998</v>
      </c>
      <c r="AL71" s="1789"/>
    </row>
    <row r="72" spans="1:38" ht="15" customHeight="1">
      <c r="A72" s="35"/>
      <c r="B72" s="350" t="s">
        <v>397</v>
      </c>
      <c r="C72" s="350"/>
      <c r="D72" s="531">
        <v>0.1</v>
      </c>
      <c r="E72" s="512"/>
      <c r="F72" s="531">
        <v>0.1</v>
      </c>
      <c r="G72" s="512"/>
      <c r="H72" s="531">
        <f t="shared" si="13"/>
        <v>9.9999999999999978E-2</v>
      </c>
      <c r="I72" s="264"/>
      <c r="J72" s="531"/>
      <c r="K72" s="553"/>
      <c r="L72" s="531"/>
      <c r="M72" s="553"/>
      <c r="N72" s="531"/>
      <c r="O72" s="553"/>
      <c r="P72" s="531"/>
      <c r="Q72" s="553"/>
      <c r="R72" s="531"/>
      <c r="S72" s="553"/>
      <c r="T72" s="531"/>
      <c r="U72" s="553"/>
      <c r="V72" s="531"/>
      <c r="W72" s="553"/>
      <c r="X72" s="531"/>
      <c r="Y72" s="553"/>
      <c r="Z72" s="531"/>
      <c r="AA72" s="289"/>
      <c r="AB72" s="524"/>
      <c r="AC72" s="531">
        <v>0.3</v>
      </c>
      <c r="AD72" s="264"/>
      <c r="AE72" s="524" t="s">
        <v>103</v>
      </c>
      <c r="AF72" s="531">
        <v>0.2</v>
      </c>
      <c r="AG72" s="287"/>
      <c r="AH72" s="709"/>
      <c r="AI72" s="264">
        <f t="shared" si="14"/>
        <v>0.1</v>
      </c>
      <c r="AJ72" s="264"/>
      <c r="AK72" s="542">
        <f>ROUND(IF(AF72=0,1,AI72/ABS(AF72)),3)</f>
        <v>0.5</v>
      </c>
      <c r="AL72" s="1789"/>
    </row>
    <row r="73" spans="1:38" ht="15" customHeight="1">
      <c r="A73" s="35"/>
      <c r="B73" s="350" t="s">
        <v>398</v>
      </c>
      <c r="C73" s="350"/>
      <c r="D73" s="531">
        <v>186.7</v>
      </c>
      <c r="E73" s="512"/>
      <c r="F73" s="531">
        <v>37.5</v>
      </c>
      <c r="G73" s="512"/>
      <c r="H73" s="531">
        <f t="shared" si="13"/>
        <v>30.5</v>
      </c>
      <c r="I73" s="264"/>
      <c r="J73" s="531"/>
      <c r="K73" s="553"/>
      <c r="L73" s="531"/>
      <c r="M73" s="553"/>
      <c r="N73" s="531"/>
      <c r="O73" s="553"/>
      <c r="P73" s="531"/>
      <c r="Q73" s="553"/>
      <c r="R73" s="531"/>
      <c r="S73" s="553"/>
      <c r="T73" s="531"/>
      <c r="U73" s="553"/>
      <c r="V73" s="531"/>
      <c r="W73" s="553"/>
      <c r="X73" s="531"/>
      <c r="Y73" s="553"/>
      <c r="Z73" s="531"/>
      <c r="AA73" s="289"/>
      <c r="AB73" s="524"/>
      <c r="AC73" s="531">
        <v>254.7</v>
      </c>
      <c r="AD73" s="264"/>
      <c r="AE73" s="524" t="s">
        <v>103</v>
      </c>
      <c r="AF73" s="531">
        <v>86.6</v>
      </c>
      <c r="AG73" s="287"/>
      <c r="AH73" s="709"/>
      <c r="AI73" s="264">
        <f t="shared" si="14"/>
        <v>168.1</v>
      </c>
      <c r="AJ73" s="264"/>
      <c r="AK73" s="542">
        <f>ROUND(IF(AF73=0,1,AI73/ABS(AF73)),3)</f>
        <v>1.9410000000000001</v>
      </c>
      <c r="AL73" s="1789"/>
    </row>
    <row r="74" spans="1:38" ht="15" customHeight="1">
      <c r="A74" s="35"/>
      <c r="B74" s="350" t="s">
        <v>399</v>
      </c>
      <c r="C74" s="350"/>
      <c r="D74" s="531">
        <v>2.6</v>
      </c>
      <c r="E74" s="512"/>
      <c r="F74" s="531">
        <v>2.6</v>
      </c>
      <c r="G74" s="512"/>
      <c r="H74" s="531">
        <f t="shared" si="13"/>
        <v>2.0999999999999992</v>
      </c>
      <c r="I74" s="264"/>
      <c r="J74" s="531"/>
      <c r="K74" s="553"/>
      <c r="L74" s="531"/>
      <c r="M74" s="553"/>
      <c r="N74" s="531"/>
      <c r="O74" s="553"/>
      <c r="P74" s="531"/>
      <c r="Q74" s="553"/>
      <c r="R74" s="531"/>
      <c r="S74" s="553"/>
      <c r="T74" s="531"/>
      <c r="U74" s="553"/>
      <c r="V74" s="531"/>
      <c r="W74" s="553"/>
      <c r="X74" s="531"/>
      <c r="Y74" s="553"/>
      <c r="Z74" s="531"/>
      <c r="AA74" s="1231"/>
      <c r="AB74" s="264"/>
      <c r="AC74" s="531">
        <v>7.3</v>
      </c>
      <c r="AD74" s="264"/>
      <c r="AE74" s="524" t="s">
        <v>103</v>
      </c>
      <c r="AF74" s="531">
        <v>4.5999999999999996</v>
      </c>
      <c r="AG74" s="287"/>
      <c r="AH74" s="709"/>
      <c r="AI74" s="264">
        <f t="shared" si="14"/>
        <v>2.7</v>
      </c>
      <c r="AJ74" s="264"/>
      <c r="AK74" s="542">
        <f>ROUND(IF(AF74=0,1,AI74/ABS(AF74)),3)</f>
        <v>0.58699999999999997</v>
      </c>
      <c r="AL74" s="1789"/>
    </row>
    <row r="75" spans="1:38" ht="15" customHeight="1">
      <c r="A75" s="35"/>
      <c r="B75" s="350" t="s">
        <v>400</v>
      </c>
      <c r="C75" s="350"/>
      <c r="D75" s="531">
        <v>22.400000000000002</v>
      </c>
      <c r="E75" s="512"/>
      <c r="F75" s="531">
        <v>18.899999999999995</v>
      </c>
      <c r="G75" s="512"/>
      <c r="H75" s="531">
        <f t="shared" si="13"/>
        <v>4.2000000000000028</v>
      </c>
      <c r="I75" s="264"/>
      <c r="J75" s="531"/>
      <c r="K75" s="553"/>
      <c r="L75" s="531"/>
      <c r="M75" s="553"/>
      <c r="N75" s="531"/>
      <c r="O75" s="553"/>
      <c r="P75" s="531"/>
      <c r="Q75" s="553"/>
      <c r="R75" s="531"/>
      <c r="S75" s="553"/>
      <c r="T75" s="531"/>
      <c r="U75" s="553"/>
      <c r="V75" s="531"/>
      <c r="W75" s="553"/>
      <c r="X75" s="531"/>
      <c r="Y75" s="553"/>
      <c r="Z75" s="531"/>
      <c r="AA75" s="1231"/>
      <c r="AB75" s="264"/>
      <c r="AC75" s="531">
        <v>45.5</v>
      </c>
      <c r="AD75" s="1232"/>
      <c r="AE75" s="264" t="s">
        <v>103</v>
      </c>
      <c r="AF75" s="531">
        <v>90.7</v>
      </c>
      <c r="AG75" s="287"/>
      <c r="AH75" s="709"/>
      <c r="AI75" s="264">
        <f t="shared" si="14"/>
        <v>-45.2</v>
      </c>
      <c r="AJ75" s="264"/>
      <c r="AK75" s="542">
        <f>ROUND(IF(AF75=0,0,AI75/ABS(AF75)),3)</f>
        <v>-0.498</v>
      </c>
      <c r="AL75" s="1789"/>
    </row>
    <row r="76" spans="1:38" s="63" customFormat="1" ht="15" customHeight="1">
      <c r="A76" s="35"/>
      <c r="B76" s="350" t="s">
        <v>401</v>
      </c>
      <c r="C76" s="291"/>
      <c r="D76" s="531" t="s">
        <v>103</v>
      </c>
      <c r="E76" s="512"/>
      <c r="F76" s="531"/>
      <c r="G76" s="512"/>
      <c r="H76" s="531"/>
      <c r="I76" s="264"/>
      <c r="J76" s="531"/>
      <c r="K76" s="264"/>
      <c r="L76" s="531"/>
      <c r="M76" s="264"/>
      <c r="N76" s="531"/>
      <c r="O76" s="264"/>
      <c r="P76" s="531"/>
      <c r="Q76" s="264"/>
      <c r="R76" s="531"/>
      <c r="S76" s="264"/>
      <c r="T76" s="531"/>
      <c r="U76" s="264"/>
      <c r="V76" s="531"/>
      <c r="W76" s="264"/>
      <c r="X76" s="531"/>
      <c r="Y76" s="264"/>
      <c r="Z76" s="531"/>
      <c r="AA76" s="1233"/>
      <c r="AB76" s="264"/>
      <c r="AC76" s="264" t="s">
        <v>103</v>
      </c>
      <c r="AD76" s="1232"/>
      <c r="AE76" s="264"/>
      <c r="AF76" s="264" t="s">
        <v>103</v>
      </c>
      <c r="AG76" s="287"/>
      <c r="AH76" s="709"/>
      <c r="AI76" s="264"/>
      <c r="AJ76" s="264"/>
      <c r="AK76" s="264"/>
      <c r="AL76" s="1789"/>
    </row>
    <row r="77" spans="1:38" s="63" customFormat="1" ht="15" customHeight="1">
      <c r="A77" s="35"/>
      <c r="B77" s="350" t="s">
        <v>448</v>
      </c>
      <c r="C77" s="291"/>
      <c r="D77" s="531">
        <v>5</v>
      </c>
      <c r="E77" s="512"/>
      <c r="F77" s="531">
        <v>0</v>
      </c>
      <c r="G77" s="512"/>
      <c r="H77" s="531">
        <f t="shared" si="13"/>
        <v>0</v>
      </c>
      <c r="I77" s="264"/>
      <c r="J77" s="531"/>
      <c r="K77" s="553"/>
      <c r="L77" s="531"/>
      <c r="M77" s="553"/>
      <c r="N77" s="531"/>
      <c r="O77" s="553"/>
      <c r="P77" s="531"/>
      <c r="Q77" s="553"/>
      <c r="R77" s="531"/>
      <c r="S77" s="553"/>
      <c r="T77" s="531"/>
      <c r="U77" s="553"/>
      <c r="V77" s="531"/>
      <c r="W77" s="553"/>
      <c r="X77" s="531"/>
      <c r="Y77" s="553"/>
      <c r="Z77" s="531"/>
      <c r="AA77" s="1231"/>
      <c r="AB77" s="264"/>
      <c r="AC77" s="531">
        <v>5</v>
      </c>
      <c r="AD77" s="1788" t="s">
        <v>103</v>
      </c>
      <c r="AE77" s="287"/>
      <c r="AF77" s="531">
        <v>5</v>
      </c>
      <c r="AG77" s="287"/>
      <c r="AH77" s="709"/>
      <c r="AI77" s="264">
        <f t="shared" si="14"/>
        <v>0</v>
      </c>
      <c r="AJ77" s="264"/>
      <c r="AK77" s="283">
        <f>ROUND(IF(AF77=0,1,AI77/ABS(AF77)),3)</f>
        <v>0</v>
      </c>
      <c r="AL77" s="1789"/>
    </row>
    <row r="78" spans="1:38" ht="15" customHeight="1">
      <c r="A78" s="35"/>
      <c r="B78" s="350" t="s">
        <v>406</v>
      </c>
      <c r="C78" s="350"/>
      <c r="D78" s="531">
        <v>187</v>
      </c>
      <c r="E78" s="512"/>
      <c r="F78" s="531">
        <v>177.10000000000002</v>
      </c>
      <c r="G78" s="512"/>
      <c r="H78" s="531">
        <f t="shared" si="13"/>
        <v>181.29999999999995</v>
      </c>
      <c r="I78" s="264"/>
      <c r="J78" s="531"/>
      <c r="K78" s="553"/>
      <c r="L78" s="531"/>
      <c r="M78" s="553"/>
      <c r="N78" s="531"/>
      <c r="O78" s="553"/>
      <c r="P78" s="531"/>
      <c r="Q78" s="553"/>
      <c r="R78" s="531"/>
      <c r="S78" s="553"/>
      <c r="T78" s="531"/>
      <c r="U78" s="553"/>
      <c r="V78" s="531"/>
      <c r="W78" s="553"/>
      <c r="X78" s="531"/>
      <c r="Y78" s="553"/>
      <c r="Z78" s="531"/>
      <c r="AA78" s="1231"/>
      <c r="AB78" s="264"/>
      <c r="AC78" s="531">
        <v>545.4</v>
      </c>
      <c r="AD78" s="1232"/>
      <c r="AE78" s="264" t="s">
        <v>103</v>
      </c>
      <c r="AF78" s="531">
        <v>659.7</v>
      </c>
      <c r="AG78" s="287"/>
      <c r="AH78" s="709"/>
      <c r="AI78" s="264">
        <f>ROUND(SUM(+AC78-AF78),1)</f>
        <v>-114.3</v>
      </c>
      <c r="AJ78" s="264"/>
      <c r="AK78" s="542">
        <f>ROUND(IF(AF78=0,1,AI78/ABS(AF78)),3)</f>
        <v>-0.17299999999999999</v>
      </c>
      <c r="AL78" s="1789"/>
    </row>
    <row r="79" spans="1:38" ht="15" customHeight="1">
      <c r="A79" s="35"/>
      <c r="B79" s="350" t="s">
        <v>407</v>
      </c>
      <c r="C79" s="350"/>
      <c r="D79" s="531">
        <v>0</v>
      </c>
      <c r="E79" s="512"/>
      <c r="F79" s="531">
        <v>0</v>
      </c>
      <c r="G79" s="512"/>
      <c r="H79" s="531">
        <f t="shared" si="13"/>
        <v>0</v>
      </c>
      <c r="I79" s="264"/>
      <c r="J79" s="531"/>
      <c r="K79" s="553"/>
      <c r="L79" s="531"/>
      <c r="M79" s="553"/>
      <c r="N79" s="531"/>
      <c r="O79" s="553"/>
      <c r="P79" s="531"/>
      <c r="Q79" s="553"/>
      <c r="R79" s="531"/>
      <c r="S79" s="553"/>
      <c r="T79" s="531"/>
      <c r="U79" s="553"/>
      <c r="V79" s="531"/>
      <c r="W79" s="553"/>
      <c r="X79" s="531"/>
      <c r="Y79" s="553"/>
      <c r="Z79" s="531"/>
      <c r="AA79" s="289"/>
      <c r="AB79" s="524"/>
      <c r="AC79" s="531">
        <v>0</v>
      </c>
      <c r="AD79" s="264"/>
      <c r="AE79" s="524" t="s">
        <v>103</v>
      </c>
      <c r="AF79" s="531">
        <v>0.1</v>
      </c>
      <c r="AG79" s="287"/>
      <c r="AH79" s="709"/>
      <c r="AI79" s="264">
        <f>ROUND(SUM(+AC79-AF79),1)</f>
        <v>-0.1</v>
      </c>
      <c r="AJ79" s="264"/>
      <c r="AK79" s="542">
        <f>ROUND(IF(AF79=0,0,AI79/ABS(AF79)),3)</f>
        <v>-1</v>
      </c>
      <c r="AL79" s="1789"/>
    </row>
    <row r="80" spans="1:38" ht="15" customHeight="1">
      <c r="A80" s="35"/>
      <c r="B80" s="350" t="s">
        <v>408</v>
      </c>
      <c r="C80" s="350"/>
      <c r="D80" s="531"/>
      <c r="E80" s="512"/>
      <c r="F80" s="531"/>
      <c r="G80" s="512"/>
      <c r="H80" s="531"/>
      <c r="I80" s="264"/>
      <c r="J80" s="531"/>
      <c r="K80" s="264"/>
      <c r="L80" s="531"/>
      <c r="M80" s="264"/>
      <c r="N80" s="531"/>
      <c r="O80" s="264"/>
      <c r="P80" s="531"/>
      <c r="Q80" s="264"/>
      <c r="R80" s="531"/>
      <c r="S80" s="264"/>
      <c r="T80" s="531"/>
      <c r="U80" s="264"/>
      <c r="V80" s="531"/>
      <c r="W80" s="264"/>
      <c r="X80" s="531"/>
      <c r="Y80" s="264"/>
      <c r="Z80" s="531"/>
      <c r="AA80" s="268"/>
      <c r="AB80" s="1023"/>
      <c r="AC80" s="698" t="s">
        <v>103</v>
      </c>
      <c r="AD80" s="264"/>
      <c r="AE80" s="524"/>
      <c r="AF80" s="698" t="s">
        <v>103</v>
      </c>
      <c r="AG80" s="264"/>
      <c r="AH80" s="706"/>
      <c r="AI80" s="264"/>
      <c r="AJ80" s="264"/>
      <c r="AK80" s="283"/>
      <c r="AL80" s="1789"/>
    </row>
    <row r="81" spans="1:38" ht="15" customHeight="1">
      <c r="A81" s="35"/>
      <c r="B81" s="350" t="s">
        <v>409</v>
      </c>
      <c r="C81" s="350"/>
      <c r="D81" s="531">
        <v>0</v>
      </c>
      <c r="E81" s="512"/>
      <c r="F81" s="531">
        <v>0</v>
      </c>
      <c r="G81" s="512"/>
      <c r="H81" s="531">
        <f t="shared" si="13"/>
        <v>0</v>
      </c>
      <c r="I81" s="264"/>
      <c r="J81" s="531"/>
      <c r="K81" s="264"/>
      <c r="L81" s="531"/>
      <c r="M81" s="264"/>
      <c r="N81" s="531"/>
      <c r="O81" s="264"/>
      <c r="P81" s="531"/>
      <c r="Q81" s="264"/>
      <c r="R81" s="531"/>
      <c r="S81" s="264"/>
      <c r="T81" s="531"/>
      <c r="U81" s="264"/>
      <c r="V81" s="531"/>
      <c r="W81" s="264"/>
      <c r="X81" s="531"/>
      <c r="Y81" s="264"/>
      <c r="Z81" s="531"/>
      <c r="AA81" s="268"/>
      <c r="AB81" s="1023"/>
      <c r="AC81" s="531">
        <v>0</v>
      </c>
      <c r="AD81" s="264"/>
      <c r="AE81" s="524"/>
      <c r="AF81" s="531">
        <v>0</v>
      </c>
      <c r="AG81" s="264"/>
      <c r="AH81" s="706"/>
      <c r="AI81" s="264">
        <f t="shared" ref="AI81:AI85" si="15">ROUND(SUM(+AC81-AF81),1)</f>
        <v>0</v>
      </c>
      <c r="AJ81" s="264"/>
      <c r="AK81" s="266">
        <f>ROUND(IF(AF81=0,0,AI81/ABS(AF81)),3)</f>
        <v>0</v>
      </c>
      <c r="AL81" s="1789"/>
    </row>
    <row r="82" spans="1:38" ht="15" customHeight="1">
      <c r="A82" s="35"/>
      <c r="B82" s="350" t="s">
        <v>410</v>
      </c>
      <c r="C82" s="350"/>
      <c r="D82" s="531">
        <v>0</v>
      </c>
      <c r="E82" s="512"/>
      <c r="F82" s="531">
        <v>0</v>
      </c>
      <c r="G82" s="512"/>
      <c r="H82" s="531">
        <f t="shared" si="13"/>
        <v>0</v>
      </c>
      <c r="I82" s="264"/>
      <c r="J82" s="531"/>
      <c r="K82" s="553"/>
      <c r="L82" s="531"/>
      <c r="M82" s="553"/>
      <c r="N82" s="531"/>
      <c r="O82" s="553"/>
      <c r="P82" s="531"/>
      <c r="Q82" s="553"/>
      <c r="R82" s="531"/>
      <c r="S82" s="553"/>
      <c r="T82" s="531"/>
      <c r="U82" s="553"/>
      <c r="V82" s="531"/>
      <c r="W82" s="553"/>
      <c r="X82" s="531"/>
      <c r="Y82" s="553"/>
      <c r="Z82" s="531"/>
      <c r="AA82" s="289"/>
      <c r="AB82" s="524"/>
      <c r="AC82" s="531">
        <v>0</v>
      </c>
      <c r="AD82" s="264"/>
      <c r="AE82" s="524" t="s">
        <v>103</v>
      </c>
      <c r="AF82" s="531">
        <v>0</v>
      </c>
      <c r="AG82" s="287"/>
      <c r="AH82" s="709"/>
      <c r="AI82" s="264">
        <f t="shared" si="15"/>
        <v>0</v>
      </c>
      <c r="AJ82" s="264"/>
      <c r="AK82" s="266">
        <f>ROUND(IF(AF82=0,0,AI82/ABS(AF82)),3)</f>
        <v>0</v>
      </c>
      <c r="AL82" s="1789"/>
    </row>
    <row r="83" spans="1:38" ht="15" customHeight="1">
      <c r="A83" s="35"/>
      <c r="B83" s="350" t="s">
        <v>411</v>
      </c>
      <c r="C83" s="350"/>
      <c r="D83" s="531">
        <v>0.8</v>
      </c>
      <c r="E83" s="512"/>
      <c r="F83" s="531">
        <v>-0.8</v>
      </c>
      <c r="G83" s="512"/>
      <c r="H83" s="531">
        <f t="shared" si="13"/>
        <v>0</v>
      </c>
      <c r="I83" s="264"/>
      <c r="J83" s="531"/>
      <c r="K83" s="553"/>
      <c r="L83" s="531"/>
      <c r="M83" s="553"/>
      <c r="N83" s="531"/>
      <c r="O83" s="553"/>
      <c r="P83" s="531"/>
      <c r="Q83" s="553"/>
      <c r="R83" s="531"/>
      <c r="S83" s="553"/>
      <c r="T83" s="531"/>
      <c r="U83" s="553"/>
      <c r="V83" s="531"/>
      <c r="W83" s="553"/>
      <c r="X83" s="531"/>
      <c r="Y83" s="553"/>
      <c r="Z83" s="531"/>
      <c r="AA83" s="289"/>
      <c r="AB83" s="524"/>
      <c r="AC83" s="531">
        <v>0</v>
      </c>
      <c r="AD83" s="264"/>
      <c r="AE83" s="524" t="s">
        <v>103</v>
      </c>
      <c r="AF83" s="531">
        <v>0</v>
      </c>
      <c r="AG83" s="287"/>
      <c r="AH83" s="709"/>
      <c r="AI83" s="264">
        <f t="shared" si="15"/>
        <v>0</v>
      </c>
      <c r="AJ83" s="264"/>
      <c r="AK83" s="266">
        <f>ROUND(IF(AF83=0,0,AI83/ABS(AF83)),3)</f>
        <v>0</v>
      </c>
      <c r="AL83" s="1789"/>
    </row>
    <row r="84" spans="1:38" ht="15" customHeight="1">
      <c r="A84" s="35"/>
      <c r="B84" s="350" t="s">
        <v>412</v>
      </c>
      <c r="C84" s="350"/>
      <c r="D84" s="531">
        <v>0</v>
      </c>
      <c r="E84" s="512"/>
      <c r="F84" s="531">
        <v>0</v>
      </c>
      <c r="G84" s="512"/>
      <c r="H84" s="531">
        <f t="shared" si="13"/>
        <v>7.3</v>
      </c>
      <c r="I84" s="264"/>
      <c r="J84" s="531"/>
      <c r="K84" s="553"/>
      <c r="L84" s="531"/>
      <c r="M84" s="553"/>
      <c r="N84" s="531"/>
      <c r="O84" s="553"/>
      <c r="P84" s="531"/>
      <c r="Q84" s="553"/>
      <c r="R84" s="531"/>
      <c r="S84" s="553"/>
      <c r="T84" s="531"/>
      <c r="U84" s="553"/>
      <c r="V84" s="531"/>
      <c r="W84" s="553"/>
      <c r="X84" s="531"/>
      <c r="Y84" s="553"/>
      <c r="Z84" s="531"/>
      <c r="AA84" s="289"/>
      <c r="AB84" s="524"/>
      <c r="AC84" s="531">
        <v>7.3</v>
      </c>
      <c r="AD84" s="264"/>
      <c r="AE84" s="524" t="s">
        <v>103</v>
      </c>
      <c r="AF84" s="531">
        <v>8.6</v>
      </c>
      <c r="AG84" s="287"/>
      <c r="AH84" s="709"/>
      <c r="AI84" s="264">
        <f t="shared" si="15"/>
        <v>-1.3</v>
      </c>
      <c r="AJ84" s="264"/>
      <c r="AK84" s="266">
        <f>ROUND(IF(AF84=0,0,AI84/ABS(AF84)),3)</f>
        <v>-0.151</v>
      </c>
      <c r="AL84" s="1789"/>
    </row>
    <row r="85" spans="1:38" ht="15" customHeight="1">
      <c r="A85" s="35"/>
      <c r="B85" s="350" t="s">
        <v>413</v>
      </c>
      <c r="C85" s="350"/>
      <c r="D85" s="531">
        <v>0.2</v>
      </c>
      <c r="E85" s="512"/>
      <c r="F85" s="531">
        <v>0.2</v>
      </c>
      <c r="G85" s="512"/>
      <c r="H85" s="531">
        <f t="shared" si="13"/>
        <v>0</v>
      </c>
      <c r="I85" s="264"/>
      <c r="J85" s="531"/>
      <c r="K85" s="553"/>
      <c r="L85" s="531"/>
      <c r="M85" s="553"/>
      <c r="N85" s="531"/>
      <c r="O85" s="553"/>
      <c r="P85" s="531"/>
      <c r="Q85" s="553"/>
      <c r="R85" s="531"/>
      <c r="S85" s="553"/>
      <c r="T85" s="531"/>
      <c r="U85" s="553"/>
      <c r="V85" s="531"/>
      <c r="W85" s="553"/>
      <c r="X85" s="531"/>
      <c r="Y85" s="553"/>
      <c r="Z85" s="531"/>
      <c r="AA85" s="289"/>
      <c r="AB85" s="524"/>
      <c r="AC85" s="531">
        <v>0.4</v>
      </c>
      <c r="AD85" s="264"/>
      <c r="AE85" s="524" t="s">
        <v>103</v>
      </c>
      <c r="AF85" s="531">
        <v>-0.4</v>
      </c>
      <c r="AG85" s="287"/>
      <c r="AH85" s="709"/>
      <c r="AI85" s="264">
        <f t="shared" si="15"/>
        <v>0.8</v>
      </c>
      <c r="AJ85" s="264"/>
      <c r="AK85" s="266">
        <f t="shared" ref="AK85" si="16">ROUND(IF(AF85=0,0,AI85/ABS(AF85)),3)</f>
        <v>2</v>
      </c>
      <c r="AL85" s="1789"/>
    </row>
    <row r="86" spans="1:38" ht="15" customHeight="1">
      <c r="A86" s="35"/>
      <c r="B86" s="350" t="s">
        <v>414</v>
      </c>
      <c r="C86" s="350"/>
      <c r="D86" s="531" t="s">
        <v>449</v>
      </c>
      <c r="E86" s="512"/>
      <c r="F86" s="531"/>
      <c r="G86" s="512"/>
      <c r="H86" s="531"/>
      <c r="I86" s="264"/>
      <c r="J86" s="531"/>
      <c r="K86" s="264"/>
      <c r="L86" s="531"/>
      <c r="M86" s="264"/>
      <c r="N86" s="531"/>
      <c r="O86" s="264"/>
      <c r="P86" s="531"/>
      <c r="Q86" s="264"/>
      <c r="R86" s="531"/>
      <c r="S86" s="264"/>
      <c r="T86" s="531"/>
      <c r="U86" s="264"/>
      <c r="V86" s="531"/>
      <c r="W86" s="264"/>
      <c r="X86" s="531"/>
      <c r="Y86" s="264"/>
      <c r="Z86" s="531"/>
      <c r="AA86" s="268"/>
      <c r="AB86" s="1023"/>
      <c r="AC86" s="698" t="s">
        <v>449</v>
      </c>
      <c r="AD86" s="264"/>
      <c r="AE86" s="524" t="s">
        <v>103</v>
      </c>
      <c r="AF86" s="698" t="s">
        <v>449</v>
      </c>
      <c r="AG86" s="264"/>
      <c r="AH86" s="706"/>
      <c r="AI86" s="264"/>
      <c r="AJ86" s="264"/>
      <c r="AK86" s="283"/>
      <c r="AL86" s="1789"/>
    </row>
    <row r="87" spans="1:38" ht="15" customHeight="1">
      <c r="A87" s="35"/>
      <c r="B87" s="350" t="s">
        <v>415</v>
      </c>
      <c r="C87" s="350"/>
      <c r="D87" s="531">
        <v>0.1</v>
      </c>
      <c r="E87" s="512"/>
      <c r="F87" s="531">
        <v>0.4</v>
      </c>
      <c r="G87" s="512"/>
      <c r="H87" s="531">
        <f t="shared" si="13"/>
        <v>16.600000000000001</v>
      </c>
      <c r="I87" s="264"/>
      <c r="J87" s="531"/>
      <c r="K87" s="553"/>
      <c r="L87" s="531"/>
      <c r="M87" s="553"/>
      <c r="N87" s="531"/>
      <c r="O87" s="553"/>
      <c r="P87" s="531"/>
      <c r="Q87" s="553"/>
      <c r="R87" s="531"/>
      <c r="S87" s="553"/>
      <c r="T87" s="531"/>
      <c r="U87" s="553"/>
      <c r="V87" s="531"/>
      <c r="W87" s="553"/>
      <c r="X87" s="531"/>
      <c r="Y87" s="553"/>
      <c r="Z87" s="531"/>
      <c r="AA87" s="289"/>
      <c r="AB87" s="524"/>
      <c r="AC87" s="531">
        <v>17.100000000000001</v>
      </c>
      <c r="AD87" s="264"/>
      <c r="AE87" s="524" t="s">
        <v>103</v>
      </c>
      <c r="AF87" s="531">
        <v>25.2</v>
      </c>
      <c r="AG87" s="287"/>
      <c r="AH87" s="709"/>
      <c r="AI87" s="264">
        <f t="shared" ref="AI87:AI96" si="17">ROUND(SUM(+AC87-AF87),1)</f>
        <v>-8.1</v>
      </c>
      <c r="AJ87" s="264"/>
      <c r="AK87" s="266">
        <f t="shared" ref="AK87" si="18">ROUND(IF(AF87=0,1,AI87/ABS(AF87)),3)</f>
        <v>-0.32100000000000001</v>
      </c>
      <c r="AL87" s="1789"/>
    </row>
    <row r="88" spans="1:38" ht="15" customHeight="1">
      <c r="A88" s="35"/>
      <c r="B88" s="350" t="s">
        <v>416</v>
      </c>
      <c r="C88" s="350"/>
      <c r="D88" s="531">
        <v>-0.2</v>
      </c>
      <c r="E88" s="512"/>
      <c r="F88" s="531">
        <v>0</v>
      </c>
      <c r="G88" s="512"/>
      <c r="H88" s="531">
        <f t="shared" si="13"/>
        <v>0</v>
      </c>
      <c r="I88" s="264"/>
      <c r="J88" s="531"/>
      <c r="K88" s="553"/>
      <c r="L88" s="531"/>
      <c r="M88" s="553"/>
      <c r="N88" s="531"/>
      <c r="O88" s="553"/>
      <c r="P88" s="531"/>
      <c r="Q88" s="553"/>
      <c r="R88" s="531"/>
      <c r="S88" s="553"/>
      <c r="T88" s="531"/>
      <c r="U88" s="553"/>
      <c r="V88" s="531"/>
      <c r="W88" s="553"/>
      <c r="X88" s="531"/>
      <c r="Y88" s="553"/>
      <c r="Z88" s="531"/>
      <c r="AA88" s="289"/>
      <c r="AB88" s="524"/>
      <c r="AC88" s="531">
        <v>-0.2</v>
      </c>
      <c r="AD88" s="264"/>
      <c r="AE88" s="524" t="s">
        <v>103</v>
      </c>
      <c r="AF88" s="531">
        <v>0.6</v>
      </c>
      <c r="AG88" s="287"/>
      <c r="AH88" s="709"/>
      <c r="AI88" s="264">
        <f t="shared" ref="AI88" si="19">ROUND(SUM(+AC88-AF88),1)</f>
        <v>-0.8</v>
      </c>
      <c r="AJ88" s="264"/>
      <c r="AK88" s="266">
        <f>ROUND(IF(AF88=0,1,AI88/ABS(AF88)),3)</f>
        <v>-1.333</v>
      </c>
      <c r="AL88" s="1789"/>
    </row>
    <row r="89" spans="1:38" ht="15" customHeight="1">
      <c r="A89" s="35"/>
      <c r="B89" s="350" t="s">
        <v>417</v>
      </c>
      <c r="C89" s="350"/>
      <c r="D89" s="531">
        <v>0</v>
      </c>
      <c r="E89" s="512"/>
      <c r="F89" s="531">
        <v>0</v>
      </c>
      <c r="G89" s="512"/>
      <c r="H89" s="531">
        <f t="shared" si="13"/>
        <v>0</v>
      </c>
      <c r="I89" s="264"/>
      <c r="J89" s="531"/>
      <c r="K89" s="553"/>
      <c r="L89" s="531"/>
      <c r="M89" s="553"/>
      <c r="N89" s="531"/>
      <c r="O89" s="553"/>
      <c r="P89" s="531"/>
      <c r="Q89" s="553"/>
      <c r="R89" s="531"/>
      <c r="S89" s="553"/>
      <c r="T89" s="531"/>
      <c r="U89" s="553"/>
      <c r="V89" s="531"/>
      <c r="W89" s="553"/>
      <c r="X89" s="531"/>
      <c r="Y89" s="553"/>
      <c r="Z89" s="531"/>
      <c r="AA89" s="289"/>
      <c r="AB89" s="524"/>
      <c r="AC89" s="531">
        <v>0</v>
      </c>
      <c r="AD89" s="264"/>
      <c r="AE89" s="524" t="s">
        <v>103</v>
      </c>
      <c r="AF89" s="531">
        <v>0</v>
      </c>
      <c r="AG89" s="287"/>
      <c r="AH89" s="709"/>
      <c r="AI89" s="264">
        <f t="shared" si="17"/>
        <v>0</v>
      </c>
      <c r="AJ89" s="264"/>
      <c r="AK89" s="542">
        <f>ROUND(IF(AF89=0,0,AI89/ABS(AF89)),3)</f>
        <v>0</v>
      </c>
      <c r="AL89" s="1789"/>
    </row>
    <row r="90" spans="1:38" ht="15" customHeight="1">
      <c r="A90" s="35"/>
      <c r="B90" s="350" t="s">
        <v>418</v>
      </c>
      <c r="C90" s="350"/>
      <c r="D90" s="531">
        <v>0</v>
      </c>
      <c r="E90" s="512"/>
      <c r="F90" s="531">
        <v>0</v>
      </c>
      <c r="G90" s="512"/>
      <c r="H90" s="531">
        <f t="shared" si="13"/>
        <v>43.5</v>
      </c>
      <c r="I90" s="264"/>
      <c r="J90" s="531"/>
      <c r="K90" s="553"/>
      <c r="L90" s="531"/>
      <c r="M90" s="553"/>
      <c r="N90" s="531"/>
      <c r="O90" s="553"/>
      <c r="P90" s="531"/>
      <c r="Q90" s="553"/>
      <c r="R90" s="531"/>
      <c r="S90" s="553"/>
      <c r="T90" s="531"/>
      <c r="U90" s="553"/>
      <c r="V90" s="531"/>
      <c r="W90" s="553"/>
      <c r="X90" s="531"/>
      <c r="Y90" s="553"/>
      <c r="Z90" s="531"/>
      <c r="AA90" s="289"/>
      <c r="AB90" s="524"/>
      <c r="AC90" s="531">
        <v>43.5</v>
      </c>
      <c r="AD90" s="264"/>
      <c r="AE90" s="524" t="s">
        <v>103</v>
      </c>
      <c r="AF90" s="531">
        <v>27.1</v>
      </c>
      <c r="AG90" s="287"/>
      <c r="AH90" s="709"/>
      <c r="AI90" s="264">
        <f t="shared" si="17"/>
        <v>16.399999999999999</v>
      </c>
      <c r="AJ90" s="264"/>
      <c r="AK90" s="542">
        <f>ROUND(IF(AF90=0,0,AI90/ABS(AF90)),3)</f>
        <v>0.60499999999999998</v>
      </c>
      <c r="AL90" s="1789"/>
    </row>
    <row r="91" spans="1:38" ht="15" customHeight="1">
      <c r="A91" s="35"/>
      <c r="B91" s="350" t="s">
        <v>419</v>
      </c>
      <c r="C91" s="350"/>
      <c r="D91" s="531">
        <v>17.8</v>
      </c>
      <c r="E91" s="512"/>
      <c r="F91" s="531">
        <v>-20.3</v>
      </c>
      <c r="G91" s="512"/>
      <c r="H91" s="531">
        <f t="shared" si="13"/>
        <v>5.6000000000000014</v>
      </c>
      <c r="I91" s="264"/>
      <c r="J91" s="531"/>
      <c r="K91" s="553"/>
      <c r="L91" s="531"/>
      <c r="M91" s="553"/>
      <c r="N91" s="531"/>
      <c r="O91" s="553"/>
      <c r="P91" s="531"/>
      <c r="Q91" s="553"/>
      <c r="R91" s="531"/>
      <c r="S91" s="553"/>
      <c r="T91" s="531"/>
      <c r="U91" s="553"/>
      <c r="V91" s="531"/>
      <c r="W91" s="553"/>
      <c r="X91" s="531"/>
      <c r="Y91" s="553"/>
      <c r="Z91" s="531"/>
      <c r="AA91" s="289"/>
      <c r="AB91" s="524"/>
      <c r="AC91" s="531">
        <v>3.1</v>
      </c>
      <c r="AD91" s="264"/>
      <c r="AE91" s="524" t="s">
        <v>103</v>
      </c>
      <c r="AF91" s="531">
        <v>73.7</v>
      </c>
      <c r="AG91" s="287"/>
      <c r="AH91" s="709"/>
      <c r="AI91" s="264">
        <f>ROUND(SUM(+AC91-AF91),1)</f>
        <v>-70.599999999999994</v>
      </c>
      <c r="AJ91" s="264"/>
      <c r="AK91" s="542">
        <f>ROUND(IF(AF91=0,1,AI91/ABS(AF91)),3)</f>
        <v>-0.95799999999999996</v>
      </c>
      <c r="AL91" s="1789"/>
    </row>
    <row r="92" spans="1:38" ht="15" customHeight="1">
      <c r="A92" s="35"/>
      <c r="B92" s="350" t="s">
        <v>420</v>
      </c>
      <c r="C92" s="350"/>
      <c r="D92" s="531">
        <v>3.2</v>
      </c>
      <c r="E92" s="512"/>
      <c r="F92" s="531">
        <v>-0.5</v>
      </c>
      <c r="G92" s="512"/>
      <c r="H92" s="531">
        <f t="shared" si="13"/>
        <v>-0.10000000000000009</v>
      </c>
      <c r="I92" s="264"/>
      <c r="J92" s="531"/>
      <c r="K92" s="553"/>
      <c r="L92" s="531"/>
      <c r="M92" s="553"/>
      <c r="N92" s="531"/>
      <c r="O92" s="553"/>
      <c r="P92" s="531"/>
      <c r="Q92" s="553"/>
      <c r="R92" s="531"/>
      <c r="S92" s="553"/>
      <c r="T92" s="531"/>
      <c r="U92" s="553"/>
      <c r="V92" s="531"/>
      <c r="W92" s="553"/>
      <c r="X92" s="531"/>
      <c r="Y92" s="553"/>
      <c r="Z92" s="531"/>
      <c r="AA92" s="289"/>
      <c r="AB92" s="524"/>
      <c r="AC92" s="531">
        <v>2.6</v>
      </c>
      <c r="AD92" s="264"/>
      <c r="AE92" s="524" t="s">
        <v>103</v>
      </c>
      <c r="AF92" s="531">
        <v>1.7</v>
      </c>
      <c r="AG92" s="287"/>
      <c r="AH92" s="709"/>
      <c r="AI92" s="264">
        <f t="shared" si="17"/>
        <v>0.9</v>
      </c>
      <c r="AJ92" s="264"/>
      <c r="AK92" s="542">
        <f>ROUND(IF(AF92=0,1,AI92/ABS(AF92)),3)</f>
        <v>0.52900000000000003</v>
      </c>
      <c r="AL92" s="1789"/>
    </row>
    <row r="93" spans="1:38" ht="15" customHeight="1">
      <c r="A93" s="35"/>
      <c r="B93" s="350" t="s">
        <v>421</v>
      </c>
      <c r="C93" s="350"/>
      <c r="D93" s="531">
        <v>0</v>
      </c>
      <c r="E93" s="512"/>
      <c r="F93" s="531">
        <v>0</v>
      </c>
      <c r="G93" s="512"/>
      <c r="H93" s="531">
        <f t="shared" si="13"/>
        <v>0</v>
      </c>
      <c r="I93" s="264"/>
      <c r="J93" s="531"/>
      <c r="K93" s="553"/>
      <c r="L93" s="531"/>
      <c r="M93" s="553"/>
      <c r="N93" s="531"/>
      <c r="O93" s="553"/>
      <c r="P93" s="531"/>
      <c r="Q93" s="553"/>
      <c r="R93" s="531"/>
      <c r="S93" s="553"/>
      <c r="T93" s="531"/>
      <c r="U93" s="553"/>
      <c r="V93" s="531"/>
      <c r="W93" s="553"/>
      <c r="X93" s="531"/>
      <c r="Y93" s="553"/>
      <c r="Z93" s="531"/>
      <c r="AA93" s="289"/>
      <c r="AB93" s="524"/>
      <c r="AC93" s="531">
        <v>0</v>
      </c>
      <c r="AD93" s="264"/>
      <c r="AE93" s="524" t="s">
        <v>103</v>
      </c>
      <c r="AF93" s="531">
        <v>0.1</v>
      </c>
      <c r="AG93" s="287"/>
      <c r="AH93" s="709"/>
      <c r="AI93" s="264">
        <f t="shared" si="17"/>
        <v>-0.1</v>
      </c>
      <c r="AJ93" s="264"/>
      <c r="AK93" s="542">
        <f>ROUND(IF(AF93=0,0,AI93/ABS(AF93)),3)</f>
        <v>-1</v>
      </c>
      <c r="AL93" s="1789"/>
    </row>
    <row r="94" spans="1:38" ht="15" customHeight="1">
      <c r="A94" s="35"/>
      <c r="B94" s="350" t="s">
        <v>422</v>
      </c>
      <c r="C94" s="350"/>
      <c r="D94" s="531">
        <v>0</v>
      </c>
      <c r="E94" s="512"/>
      <c r="F94" s="531">
        <v>0</v>
      </c>
      <c r="G94" s="512"/>
      <c r="H94" s="531">
        <f t="shared" si="13"/>
        <v>0</v>
      </c>
      <c r="I94" s="264"/>
      <c r="J94" s="531"/>
      <c r="K94" s="553"/>
      <c r="L94" s="531"/>
      <c r="M94" s="553"/>
      <c r="N94" s="531"/>
      <c r="O94" s="553"/>
      <c r="P94" s="531"/>
      <c r="Q94" s="553"/>
      <c r="R94" s="531"/>
      <c r="S94" s="553"/>
      <c r="T94" s="531"/>
      <c r="U94" s="553"/>
      <c r="V94" s="531"/>
      <c r="W94" s="553"/>
      <c r="X94" s="531"/>
      <c r="Y94" s="553"/>
      <c r="Z94" s="531"/>
      <c r="AA94" s="289"/>
      <c r="AB94" s="524"/>
      <c r="AC94" s="531">
        <v>0</v>
      </c>
      <c r="AD94" s="264"/>
      <c r="AE94" s="524" t="s">
        <v>103</v>
      </c>
      <c r="AF94" s="531">
        <v>0</v>
      </c>
      <c r="AG94" s="287"/>
      <c r="AH94" s="709"/>
      <c r="AI94" s="264">
        <f t="shared" si="17"/>
        <v>0</v>
      </c>
      <c r="AJ94" s="264"/>
      <c r="AK94" s="266">
        <f>ROUND(IF(AF94=0,0,AI94/ABS(AF94)),3)</f>
        <v>0</v>
      </c>
      <c r="AL94" s="1789"/>
    </row>
    <row r="95" spans="1:38" ht="15" customHeight="1">
      <c r="A95" s="35"/>
      <c r="B95" s="350" t="s">
        <v>423</v>
      </c>
      <c r="C95" s="350"/>
      <c r="D95" s="531">
        <v>-8.8000000000000007</v>
      </c>
      <c r="E95" s="512"/>
      <c r="F95" s="531">
        <v>-20.499999999999996</v>
      </c>
      <c r="G95" s="512"/>
      <c r="H95" s="531">
        <f t="shared" si="13"/>
        <v>55.7</v>
      </c>
      <c r="I95" s="264"/>
      <c r="J95" s="531"/>
      <c r="K95" s="553"/>
      <c r="L95" s="531"/>
      <c r="M95" s="553"/>
      <c r="N95" s="531"/>
      <c r="O95" s="553"/>
      <c r="P95" s="531"/>
      <c r="Q95" s="553"/>
      <c r="R95" s="531"/>
      <c r="S95" s="553"/>
      <c r="T95" s="531"/>
      <c r="U95" s="553"/>
      <c r="V95" s="531"/>
      <c r="W95" s="553"/>
      <c r="X95" s="531"/>
      <c r="Y95" s="553"/>
      <c r="Z95" s="531"/>
      <c r="AA95" s="289"/>
      <c r="AB95" s="524"/>
      <c r="AC95" s="531">
        <v>26.400000000000002</v>
      </c>
      <c r="AD95" s="264"/>
      <c r="AE95" s="524" t="s">
        <v>103</v>
      </c>
      <c r="AF95" s="531">
        <v>81.7</v>
      </c>
      <c r="AG95" s="264"/>
      <c r="AH95" s="709"/>
      <c r="AI95" s="264">
        <f t="shared" si="17"/>
        <v>-55.3</v>
      </c>
      <c r="AJ95" s="264"/>
      <c r="AK95" s="542">
        <f>ROUND(IF(AF95=0,0,AI95/ABS(AF95)),3)</f>
        <v>-0.67700000000000005</v>
      </c>
      <c r="AL95" s="1789"/>
    </row>
    <row r="96" spans="1:38" ht="15" customHeight="1">
      <c r="A96" s="35"/>
      <c r="B96" s="350" t="s">
        <v>424</v>
      </c>
      <c r="C96" s="350"/>
      <c r="D96" s="531">
        <v>0</v>
      </c>
      <c r="E96" s="512"/>
      <c r="F96" s="531">
        <v>0.2</v>
      </c>
      <c r="G96" s="512"/>
      <c r="H96" s="531">
        <f t="shared" si="13"/>
        <v>2.2999999999999998</v>
      </c>
      <c r="I96" s="264"/>
      <c r="J96" s="531"/>
      <c r="K96" s="553"/>
      <c r="L96" s="531"/>
      <c r="M96" s="553"/>
      <c r="N96" s="531"/>
      <c r="O96" s="553"/>
      <c r="P96" s="531"/>
      <c r="Q96" s="553"/>
      <c r="R96" s="531"/>
      <c r="S96" s="553"/>
      <c r="T96" s="531"/>
      <c r="U96" s="553"/>
      <c r="V96" s="531"/>
      <c r="W96" s="553"/>
      <c r="X96" s="531"/>
      <c r="Y96" s="553"/>
      <c r="Z96" s="531"/>
      <c r="AA96" s="289"/>
      <c r="AB96" s="524"/>
      <c r="AC96" s="531">
        <v>2.5</v>
      </c>
      <c r="AD96" s="264"/>
      <c r="AE96" s="524" t="s">
        <v>103</v>
      </c>
      <c r="AF96" s="531">
        <v>0.1</v>
      </c>
      <c r="AG96" s="264"/>
      <c r="AH96" s="709"/>
      <c r="AI96" s="264">
        <f t="shared" si="17"/>
        <v>2.4</v>
      </c>
      <c r="AJ96" s="264"/>
      <c r="AK96" s="542">
        <f>ROUND(IF(AF96=0,0,AI96/ABS(AF96)),3)</f>
        <v>24</v>
      </c>
      <c r="AL96" s="1789"/>
    </row>
    <row r="97" spans="1:38" s="59" customFormat="1" ht="15" customHeight="1">
      <c r="A97" s="417"/>
      <c r="B97" s="83" t="s">
        <v>426</v>
      </c>
      <c r="C97" s="57"/>
      <c r="D97" s="673">
        <f>ROUND(SUM(D60:D96),1)</f>
        <v>490.4</v>
      </c>
      <c r="E97" s="418"/>
      <c r="F97" s="673">
        <f>ROUND(SUM(F60:F96),1)</f>
        <v>233.2</v>
      </c>
      <c r="G97" s="418"/>
      <c r="H97" s="673">
        <f>ROUND(SUM(H60:H96),1)</f>
        <v>414</v>
      </c>
      <c r="I97" s="13"/>
      <c r="J97" s="673">
        <f>ROUND(SUM(J60:J96),1)</f>
        <v>0</v>
      </c>
      <c r="K97" s="13"/>
      <c r="L97" s="673">
        <f>ROUND(SUM(L60:L96),1)</f>
        <v>0</v>
      </c>
      <c r="M97" s="13"/>
      <c r="N97" s="673">
        <f>ROUND(SUM(N60:N96),1)</f>
        <v>0</v>
      </c>
      <c r="O97" s="13"/>
      <c r="P97" s="673">
        <f>ROUND(SUM(P60:P96),1)</f>
        <v>0</v>
      </c>
      <c r="Q97" s="13"/>
      <c r="R97" s="673">
        <f>ROUND(SUM(R60:R96),1)</f>
        <v>0</v>
      </c>
      <c r="S97" s="13"/>
      <c r="T97" s="673">
        <f>ROUND(SUM(T60:T96),1)</f>
        <v>0</v>
      </c>
      <c r="U97" s="13"/>
      <c r="V97" s="673">
        <f>ROUND(SUM(V60:V96),1)</f>
        <v>0</v>
      </c>
      <c r="W97" s="13"/>
      <c r="X97" s="673">
        <f>ROUND(SUM(X60:X96),1)</f>
        <v>0</v>
      </c>
      <c r="Y97" s="13"/>
      <c r="Z97" s="673">
        <f>ROUND(SUM(Z60:Z96),1)</f>
        <v>0</v>
      </c>
      <c r="AA97" s="40"/>
      <c r="AB97" s="671"/>
      <c r="AC97" s="673">
        <f>ROUND(SUM(AC60:AC96),1)</f>
        <v>1137.5999999999999</v>
      </c>
      <c r="AD97" s="13"/>
      <c r="AE97" s="669" t="s">
        <v>103</v>
      </c>
      <c r="AF97" s="673">
        <f>ROUND(SUM(AF60:AF96),1)</f>
        <v>1198.8</v>
      </c>
      <c r="AG97" s="13"/>
      <c r="AH97" s="707"/>
      <c r="AI97" s="673">
        <f>ROUND(SUM(AI60:AI96),1)</f>
        <v>-61.2</v>
      </c>
      <c r="AJ97" s="13"/>
      <c r="AK97" s="923">
        <f>ROUND(SUM(+AI97/AF97),3)</f>
        <v>-5.0999999999999997E-2</v>
      </c>
      <c r="AL97" s="1789"/>
    </row>
    <row r="98" spans="1:38" s="59" customFormat="1" ht="8.25" customHeight="1">
      <c r="A98" s="417"/>
      <c r="B98" s="3"/>
      <c r="C98" s="57"/>
      <c r="D98" s="13"/>
      <c r="E98" s="418"/>
      <c r="F98" s="13"/>
      <c r="G98" s="418"/>
      <c r="H98" s="13"/>
      <c r="I98" s="13"/>
      <c r="J98" s="13"/>
      <c r="K98" s="13"/>
      <c r="L98" s="13"/>
      <c r="M98" s="13"/>
      <c r="N98" s="13"/>
      <c r="O98" s="13"/>
      <c r="P98" s="13"/>
      <c r="Q98" s="13"/>
      <c r="R98" s="13"/>
      <c r="S98" s="13"/>
      <c r="T98" s="13"/>
      <c r="U98" s="13"/>
      <c r="V98" s="13"/>
      <c r="W98" s="13"/>
      <c r="X98" s="13"/>
      <c r="Y98" s="13"/>
      <c r="Z98" s="13"/>
      <c r="AA98" s="40"/>
      <c r="AB98" s="671"/>
      <c r="AC98" s="13"/>
      <c r="AD98" s="13"/>
      <c r="AE98" s="669"/>
      <c r="AF98" s="13"/>
      <c r="AG98" s="13"/>
      <c r="AH98" s="707"/>
      <c r="AI98" s="13"/>
      <c r="AJ98" s="13"/>
      <c r="AK98" s="74"/>
      <c r="AL98" s="1789"/>
    </row>
    <row r="99" spans="1:38" ht="15" customHeight="1">
      <c r="A99" s="35"/>
      <c r="B99" s="291" t="s">
        <v>450</v>
      </c>
      <c r="C99" s="364"/>
      <c r="D99" s="531">
        <v>0</v>
      </c>
      <c r="E99" s="264"/>
      <c r="F99" s="531">
        <v>0</v>
      </c>
      <c r="G99" s="264"/>
      <c r="H99" s="531">
        <f>$AC99-F99-D99</f>
        <v>1.1000000000000001</v>
      </c>
      <c r="I99" s="264"/>
      <c r="J99" s="531"/>
      <c r="K99" s="553"/>
      <c r="L99" s="531"/>
      <c r="M99" s="553"/>
      <c r="N99" s="531"/>
      <c r="O99" s="553"/>
      <c r="P99" s="531"/>
      <c r="Q99" s="553"/>
      <c r="R99" s="531"/>
      <c r="S99" s="553"/>
      <c r="T99" s="531"/>
      <c r="U99" s="553"/>
      <c r="V99" s="531"/>
      <c r="W99" s="553"/>
      <c r="X99" s="531"/>
      <c r="Y99" s="553"/>
      <c r="Z99" s="531"/>
      <c r="AA99" s="289"/>
      <c r="AB99" s="524"/>
      <c r="AC99" s="531">
        <v>1.1000000000000001</v>
      </c>
      <c r="AD99" s="264"/>
      <c r="AE99" s="524" t="s">
        <v>103</v>
      </c>
      <c r="AF99" s="531">
        <v>0.2</v>
      </c>
      <c r="AG99" s="264"/>
      <c r="AH99" s="706"/>
      <c r="AI99" s="382">
        <f>ROUND(SUM(+AC99-AF99),1)</f>
        <v>0.9</v>
      </c>
      <c r="AJ99" s="264"/>
      <c r="AK99" s="1025">
        <f>ROUND(IF(AF99=0,1,AI99/ABS(AF99)),3)</f>
        <v>4.5</v>
      </c>
      <c r="AL99" s="1789"/>
    </row>
    <row r="100" spans="1:38" ht="4.3499999999999996" customHeight="1">
      <c r="A100" s="35"/>
      <c r="B100" s="291"/>
      <c r="C100" s="364"/>
      <c r="D100" s="615"/>
      <c r="E100" s="264"/>
      <c r="F100" s="615"/>
      <c r="G100" s="264"/>
      <c r="H100" s="615"/>
      <c r="I100" s="264"/>
      <c r="J100" s="615"/>
      <c r="K100" s="264"/>
      <c r="L100" s="615"/>
      <c r="M100" s="264"/>
      <c r="N100" s="615"/>
      <c r="O100" s="264"/>
      <c r="P100" s="1026"/>
      <c r="Q100" s="264"/>
      <c r="R100" s="615"/>
      <c r="S100" s="264"/>
      <c r="T100" s="615"/>
      <c r="U100" s="264"/>
      <c r="V100" s="615"/>
      <c r="W100" s="264"/>
      <c r="X100" s="615"/>
      <c r="Y100" s="264"/>
      <c r="Z100" s="615"/>
      <c r="AA100" s="364"/>
      <c r="AB100" s="1023"/>
      <c r="AC100" s="615"/>
      <c r="AD100" s="264"/>
      <c r="AE100" s="524" t="s">
        <v>103</v>
      </c>
      <c r="AF100" s="615"/>
      <c r="AG100" s="264"/>
      <c r="AH100" s="706"/>
      <c r="AI100" s="264"/>
      <c r="AJ100" s="264"/>
      <c r="AK100" s="283"/>
      <c r="AL100" s="1789"/>
    </row>
    <row r="101" spans="1:38" ht="15" customHeight="1">
      <c r="A101" s="35"/>
      <c r="B101" s="3" t="s">
        <v>427</v>
      </c>
      <c r="C101" s="364"/>
      <c r="D101" s="357">
        <f>ROUND(SUM(D99+D97+D56),1)</f>
        <v>7649.5</v>
      </c>
      <c r="E101" s="13"/>
      <c r="F101" s="357">
        <f>ROUND(SUM(F99+F97+F56),1)</f>
        <v>3450.7</v>
      </c>
      <c r="G101" s="13"/>
      <c r="H101" s="357">
        <f>ROUND(SUM(H99+H97+H56),1)</f>
        <v>9416.9</v>
      </c>
      <c r="I101" s="13"/>
      <c r="J101" s="357">
        <f>ROUND(SUM(J99+J97+J56),1)</f>
        <v>0</v>
      </c>
      <c r="K101" s="13"/>
      <c r="L101" s="357">
        <f>ROUND(SUM(L99+L97+L56),1)</f>
        <v>0</v>
      </c>
      <c r="M101" s="13"/>
      <c r="N101" s="357">
        <f>ROUND(SUM(N99+N97+N56),1)</f>
        <v>0</v>
      </c>
      <c r="O101" s="13"/>
      <c r="P101" s="357">
        <f>ROUND(SUM(P99+P97+P56),1)</f>
        <v>0</v>
      </c>
      <c r="Q101" s="13"/>
      <c r="R101" s="357">
        <f>ROUND(SUM(R99+R97+R56),1)</f>
        <v>0</v>
      </c>
      <c r="S101" s="13"/>
      <c r="T101" s="357">
        <f>ROUND(SUM(T99+T97+T56),1)</f>
        <v>0</v>
      </c>
      <c r="U101" s="13"/>
      <c r="V101" s="357">
        <f>ROUND(SUM(V99+V97+V56),1)</f>
        <v>0</v>
      </c>
      <c r="W101" s="13"/>
      <c r="X101" s="357">
        <f>ROUND(SUM(X99+X97+X56),1)</f>
        <v>0</v>
      </c>
      <c r="Y101" s="13"/>
      <c r="Z101" s="357">
        <f>ROUND(SUM(Z99+Z97+Z56),1)</f>
        <v>0</v>
      </c>
      <c r="AA101" s="40"/>
      <c r="AB101" s="671"/>
      <c r="AC101" s="357">
        <f>ROUND(SUM(AC99+AC97+AC56),1)</f>
        <v>20517.099999999999</v>
      </c>
      <c r="AD101" s="13"/>
      <c r="AE101" s="669"/>
      <c r="AF101" s="357">
        <f>ROUND(SUM(AF99+AF97+AF56),1)</f>
        <v>18371.2</v>
      </c>
      <c r="AG101" s="13"/>
      <c r="AH101" s="707"/>
      <c r="AI101" s="357">
        <f>ROUND(SUM(AI99+AI97+AI56),1)</f>
        <v>2145.9</v>
      </c>
      <c r="AJ101" s="13"/>
      <c r="AK101" s="368">
        <f>ROUND(SUM(+AI101/AF101),3)</f>
        <v>0.11700000000000001</v>
      </c>
      <c r="AL101" s="1789"/>
    </row>
    <row r="102" spans="1:38" ht="15" customHeight="1">
      <c r="A102" s="35"/>
      <c r="B102" s="291"/>
      <c r="C102" s="364"/>
      <c r="D102" s="264"/>
      <c r="E102" s="264"/>
      <c r="F102" s="264"/>
      <c r="G102" s="264"/>
      <c r="H102" s="264"/>
      <c r="I102" s="264"/>
      <c r="J102" s="264"/>
      <c r="K102" s="264"/>
      <c r="L102" s="615"/>
      <c r="M102" s="264"/>
      <c r="N102" s="615"/>
      <c r="O102" s="264"/>
      <c r="P102" s="264"/>
      <c r="Q102" s="264"/>
      <c r="R102" s="264"/>
      <c r="S102" s="264"/>
      <c r="T102" s="264"/>
      <c r="U102" s="264"/>
      <c r="V102" s="264"/>
      <c r="W102" s="264"/>
      <c r="X102" s="264"/>
      <c r="Y102" s="264"/>
      <c r="Z102" s="264"/>
      <c r="AA102" s="268"/>
      <c r="AB102" s="1023"/>
      <c r="AC102" s="264"/>
      <c r="AD102" s="264"/>
      <c r="AE102" s="524"/>
      <c r="AF102" s="264"/>
      <c r="AG102" s="264"/>
      <c r="AH102" s="706"/>
      <c r="AI102" s="264"/>
      <c r="AJ102" s="264"/>
      <c r="AK102" s="283"/>
      <c r="AL102" s="1789"/>
    </row>
    <row r="103" spans="1:38" ht="15" customHeight="1">
      <c r="A103" s="35"/>
      <c r="B103" s="3" t="s">
        <v>122</v>
      </c>
      <c r="C103" s="3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8"/>
      <c r="AB103" s="1023"/>
      <c r="AC103" s="264"/>
      <c r="AD103" s="264"/>
      <c r="AE103" s="524"/>
      <c r="AF103" s="264"/>
      <c r="AG103" s="264"/>
      <c r="AH103" s="706"/>
      <c r="AI103" s="264"/>
      <c r="AJ103" s="264"/>
      <c r="AK103" s="283"/>
      <c r="AL103" s="1789"/>
    </row>
    <row r="104" spans="1:38" ht="15" customHeight="1">
      <c r="A104" s="35"/>
      <c r="B104" s="291" t="s">
        <v>451</v>
      </c>
      <c r="C104" s="3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512"/>
      <c r="AA104" s="268"/>
      <c r="AB104" s="1023"/>
      <c r="AC104" s="288"/>
      <c r="AD104" s="264"/>
      <c r="AE104" s="524"/>
      <c r="AF104" s="288"/>
      <c r="AG104" s="710"/>
      <c r="AH104" s="706"/>
      <c r="AI104" s="264"/>
      <c r="AJ104" s="264"/>
      <c r="AK104" s="283"/>
      <c r="AL104" s="1789"/>
    </row>
    <row r="105" spans="1:38" ht="15" customHeight="1">
      <c r="A105" s="35"/>
      <c r="B105" s="384" t="s">
        <v>124</v>
      </c>
      <c r="C105" s="364"/>
      <c r="D105" s="531">
        <v>2528.3000000000002</v>
      </c>
      <c r="E105" s="512"/>
      <c r="F105" s="531">
        <v>5871.9999999999991</v>
      </c>
      <c r="G105" s="512"/>
      <c r="H105" s="531">
        <f>$AC105-F105-D105</f>
        <v>2744.5</v>
      </c>
      <c r="I105" s="264"/>
      <c r="J105" s="531"/>
      <c r="K105" s="553"/>
      <c r="L105" s="531"/>
      <c r="M105" s="553"/>
      <c r="N105" s="531"/>
      <c r="O105" s="553"/>
      <c r="P105" s="531"/>
      <c r="Q105" s="553"/>
      <c r="R105" s="531"/>
      <c r="S105" s="553"/>
      <c r="T105" s="531"/>
      <c r="U105" s="553"/>
      <c r="V105" s="531"/>
      <c r="W105" s="553"/>
      <c r="X105" s="531"/>
      <c r="Y105" s="553"/>
      <c r="Z105" s="531"/>
      <c r="AA105" s="289"/>
      <c r="AB105" s="524"/>
      <c r="AC105" s="531">
        <v>11144.8</v>
      </c>
      <c r="AD105" s="264"/>
      <c r="AE105" s="524" t="s">
        <v>103</v>
      </c>
      <c r="AF105" s="531">
        <v>10398.799999999999</v>
      </c>
      <c r="AG105" s="710"/>
      <c r="AH105" s="706"/>
      <c r="AI105" s="264">
        <f>ROUND(SUM(+AC105-AF105),1)</f>
        <v>746</v>
      </c>
      <c r="AJ105" s="264"/>
      <c r="AK105" s="266">
        <f>ROUND(IF(AF105=0,0,AI105/ABS(AF105)),3)</f>
        <v>7.1999999999999995E-2</v>
      </c>
      <c r="AL105" s="1789"/>
    </row>
    <row r="106" spans="1:38" ht="15" customHeight="1">
      <c r="A106" s="35"/>
      <c r="B106" s="384" t="s">
        <v>125</v>
      </c>
      <c r="C106" s="364"/>
      <c r="D106" s="531">
        <v>0.3</v>
      </c>
      <c r="E106" s="512"/>
      <c r="F106" s="531">
        <v>0.3</v>
      </c>
      <c r="G106" s="512"/>
      <c r="H106" s="531">
        <f t="shared" ref="H106:H114" si="20">$AC106-F106-D106</f>
        <v>2.4000000000000004</v>
      </c>
      <c r="I106" s="264"/>
      <c r="J106" s="531"/>
      <c r="K106" s="553"/>
      <c r="L106" s="531"/>
      <c r="M106" s="553"/>
      <c r="N106" s="531"/>
      <c r="O106" s="553"/>
      <c r="P106" s="531"/>
      <c r="Q106" s="553"/>
      <c r="R106" s="531"/>
      <c r="S106" s="553"/>
      <c r="T106" s="531"/>
      <c r="U106" s="553"/>
      <c r="V106" s="531"/>
      <c r="W106" s="553"/>
      <c r="X106" s="531"/>
      <c r="Y106" s="553"/>
      <c r="Z106" s="531"/>
      <c r="AA106" s="289"/>
      <c r="AB106" s="524"/>
      <c r="AC106" s="531">
        <v>3</v>
      </c>
      <c r="AD106" s="264"/>
      <c r="AE106" s="524" t="s">
        <v>103</v>
      </c>
      <c r="AF106" s="531">
        <v>0.2</v>
      </c>
      <c r="AG106" s="264"/>
      <c r="AH106" s="706"/>
      <c r="AI106" s="264">
        <f t="shared" ref="AI106:AI114" si="21">ROUND(SUM(+AC106-AF106),1)</f>
        <v>2.8</v>
      </c>
      <c r="AJ106" s="264"/>
      <c r="AK106" s="542">
        <f>ROUND(IF(AF106=0,1,AI106/ABS(AF106)),3)</f>
        <v>14</v>
      </c>
      <c r="AL106" s="1789"/>
    </row>
    <row r="107" spans="1:38" ht="15" customHeight="1">
      <c r="A107" s="35"/>
      <c r="B107" s="384" t="s">
        <v>126</v>
      </c>
      <c r="C107" s="364"/>
      <c r="D107" s="531">
        <v>28.2</v>
      </c>
      <c r="E107" s="512"/>
      <c r="F107" s="531">
        <v>57</v>
      </c>
      <c r="G107" s="512"/>
      <c r="H107" s="531">
        <f t="shared" si="20"/>
        <v>750.9</v>
      </c>
      <c r="I107" s="264"/>
      <c r="J107" s="531"/>
      <c r="K107" s="553"/>
      <c r="L107" s="531"/>
      <c r="M107" s="553"/>
      <c r="N107" s="531"/>
      <c r="O107" s="553"/>
      <c r="P107" s="531"/>
      <c r="Q107" s="553"/>
      <c r="R107" s="531"/>
      <c r="S107" s="553"/>
      <c r="T107" s="531"/>
      <c r="U107" s="553"/>
      <c r="V107" s="531"/>
      <c r="W107" s="553"/>
      <c r="X107" s="531"/>
      <c r="Y107" s="553"/>
      <c r="Z107" s="531"/>
      <c r="AA107" s="289"/>
      <c r="AB107" s="524"/>
      <c r="AC107" s="531">
        <v>836.1</v>
      </c>
      <c r="AD107" s="264"/>
      <c r="AE107" s="524" t="s">
        <v>103</v>
      </c>
      <c r="AF107" s="531">
        <v>514.6</v>
      </c>
      <c r="AG107" s="264"/>
      <c r="AH107" s="706"/>
      <c r="AI107" s="264">
        <f t="shared" si="21"/>
        <v>321.5</v>
      </c>
      <c r="AJ107" s="264"/>
      <c r="AK107" s="266">
        <f>ROUND(IF(AF107=0,0,AI107/ABS(AF107)),3)</f>
        <v>0.625</v>
      </c>
      <c r="AL107" s="1789"/>
    </row>
    <row r="108" spans="1:38" ht="15" customHeight="1">
      <c r="A108" s="35"/>
      <c r="B108" s="384" t="s">
        <v>127</v>
      </c>
      <c r="C108" s="364"/>
      <c r="D108" s="531"/>
      <c r="E108" s="512"/>
      <c r="F108" s="531"/>
      <c r="G108" s="512"/>
      <c r="H108" s="531"/>
      <c r="I108" s="264"/>
      <c r="J108" s="531"/>
      <c r="K108" s="553"/>
      <c r="L108" s="531"/>
      <c r="M108" s="553"/>
      <c r="N108" s="531"/>
      <c r="O108" s="553"/>
      <c r="P108" s="531"/>
      <c r="Q108" s="553"/>
      <c r="R108" s="531"/>
      <c r="S108" s="553"/>
      <c r="T108" s="531"/>
      <c r="U108" s="553"/>
      <c r="V108" s="531"/>
      <c r="W108" s="553"/>
      <c r="X108" s="531"/>
      <c r="Y108" s="553"/>
      <c r="Z108" s="531"/>
      <c r="AA108" s="289"/>
      <c r="AB108" s="524"/>
      <c r="AC108" s="512"/>
      <c r="AD108" s="264"/>
      <c r="AE108" s="524" t="s">
        <v>103</v>
      </c>
      <c r="AF108" s="512"/>
      <c r="AG108" s="264"/>
      <c r="AH108" s="706"/>
      <c r="AI108" s="264" t="s">
        <v>103</v>
      </c>
      <c r="AJ108" s="264"/>
      <c r="AK108" s="283" t="s">
        <v>103</v>
      </c>
      <c r="AL108" s="1789"/>
    </row>
    <row r="109" spans="1:38" ht="15" customHeight="1">
      <c r="A109" s="35"/>
      <c r="B109" s="1027" t="s">
        <v>128</v>
      </c>
      <c r="C109" s="364"/>
      <c r="D109" s="531">
        <v>4456.2</v>
      </c>
      <c r="E109" s="512"/>
      <c r="F109" s="531">
        <v>3787.5999999999995</v>
      </c>
      <c r="G109" s="512"/>
      <c r="H109" s="531">
        <f t="shared" si="20"/>
        <v>1572.4000000000015</v>
      </c>
      <c r="I109" s="264"/>
      <c r="J109" s="531"/>
      <c r="K109" s="553"/>
      <c r="L109" s="531"/>
      <c r="M109" s="553"/>
      <c r="N109" s="531"/>
      <c r="O109" s="553"/>
      <c r="P109" s="531"/>
      <c r="Q109" s="553"/>
      <c r="R109" s="531"/>
      <c r="S109" s="553"/>
      <c r="T109" s="531"/>
      <c r="U109" s="553"/>
      <c r="V109" s="531"/>
      <c r="W109" s="553"/>
      <c r="X109" s="531"/>
      <c r="Y109" s="553"/>
      <c r="Z109" s="531"/>
      <c r="AA109" s="289"/>
      <c r="AB109" s="524"/>
      <c r="AC109" s="531">
        <v>9816.2000000000007</v>
      </c>
      <c r="AD109" s="264"/>
      <c r="AE109" s="524" t="s">
        <v>103</v>
      </c>
      <c r="AF109" s="531">
        <v>9323.6</v>
      </c>
      <c r="AG109" s="264"/>
      <c r="AH109" s="706"/>
      <c r="AI109" s="264">
        <f t="shared" si="21"/>
        <v>492.6</v>
      </c>
      <c r="AJ109" s="264"/>
      <c r="AK109" s="542">
        <f t="shared" ref="AK109:AK112" si="22">ROUND(IF(AF109=0,0,AI109/ABS(AF109)),3)</f>
        <v>5.2999999999999999E-2</v>
      </c>
      <c r="AL109" s="1789"/>
    </row>
    <row r="110" spans="1:38" ht="15" customHeight="1">
      <c r="A110" s="35"/>
      <c r="B110" s="384" t="s">
        <v>129</v>
      </c>
      <c r="C110" s="364"/>
      <c r="D110" s="531">
        <v>113.8</v>
      </c>
      <c r="E110" s="512"/>
      <c r="F110" s="531">
        <v>169.5</v>
      </c>
      <c r="G110" s="512"/>
      <c r="H110" s="531">
        <f t="shared" si="20"/>
        <v>472.7</v>
      </c>
      <c r="I110" s="264"/>
      <c r="J110" s="531"/>
      <c r="K110" s="553"/>
      <c r="L110" s="531"/>
      <c r="M110" s="553"/>
      <c r="N110" s="531"/>
      <c r="O110" s="553"/>
      <c r="P110" s="531"/>
      <c r="Q110" s="553"/>
      <c r="R110" s="531"/>
      <c r="S110" s="553"/>
      <c r="T110" s="531"/>
      <c r="U110" s="553"/>
      <c r="V110" s="531"/>
      <c r="W110" s="553"/>
      <c r="X110" s="531"/>
      <c r="Y110" s="553"/>
      <c r="Z110" s="531"/>
      <c r="AA110" s="289"/>
      <c r="AB110" s="524"/>
      <c r="AC110" s="531">
        <v>756</v>
      </c>
      <c r="AD110" s="264"/>
      <c r="AE110" s="524" t="s">
        <v>103</v>
      </c>
      <c r="AF110" s="531">
        <v>745.1</v>
      </c>
      <c r="AG110" s="264"/>
      <c r="AH110" s="706"/>
      <c r="AI110" s="264">
        <f t="shared" si="21"/>
        <v>10.9</v>
      </c>
      <c r="AJ110" s="264"/>
      <c r="AK110" s="266">
        <f t="shared" si="22"/>
        <v>1.4999999999999999E-2</v>
      </c>
      <c r="AL110" s="1789"/>
    </row>
    <row r="111" spans="1:38" ht="15" customHeight="1">
      <c r="A111" s="35"/>
      <c r="B111" s="384" t="s">
        <v>130</v>
      </c>
      <c r="C111" s="364"/>
      <c r="D111" s="531">
        <v>57.2</v>
      </c>
      <c r="E111" s="512"/>
      <c r="F111" s="531">
        <v>43.2</v>
      </c>
      <c r="G111" s="512"/>
      <c r="H111" s="531">
        <f t="shared" si="20"/>
        <v>50.400000000000006</v>
      </c>
      <c r="I111" s="264"/>
      <c r="J111" s="531"/>
      <c r="K111" s="553"/>
      <c r="L111" s="531"/>
      <c r="M111" s="553"/>
      <c r="N111" s="531"/>
      <c r="O111" s="553"/>
      <c r="P111" s="531"/>
      <c r="Q111" s="553"/>
      <c r="R111" s="531"/>
      <c r="S111" s="553"/>
      <c r="T111" s="531"/>
      <c r="U111" s="553"/>
      <c r="V111" s="531"/>
      <c r="W111" s="553"/>
      <c r="X111" s="531"/>
      <c r="Y111" s="553"/>
      <c r="Z111" s="531"/>
      <c r="AA111" s="289"/>
      <c r="AB111" s="524"/>
      <c r="AC111" s="531">
        <v>150.80000000000001</v>
      </c>
      <c r="AD111" s="264"/>
      <c r="AE111" s="524" t="s">
        <v>103</v>
      </c>
      <c r="AF111" s="531">
        <v>82.2</v>
      </c>
      <c r="AG111" s="264"/>
      <c r="AH111" s="706" t="s">
        <v>103</v>
      </c>
      <c r="AI111" s="264">
        <f t="shared" si="21"/>
        <v>68.599999999999994</v>
      </c>
      <c r="AJ111" s="264"/>
      <c r="AK111" s="266">
        <f t="shared" si="22"/>
        <v>0.83499999999999996</v>
      </c>
      <c r="AL111" s="1789"/>
    </row>
    <row r="112" spans="1:38" ht="15" customHeight="1">
      <c r="A112" s="35"/>
      <c r="B112" s="384" t="s">
        <v>131</v>
      </c>
      <c r="C112" s="364"/>
      <c r="D112" s="531">
        <v>209.6</v>
      </c>
      <c r="E112" s="512"/>
      <c r="F112" s="531">
        <v>182.79999999999998</v>
      </c>
      <c r="G112" s="512"/>
      <c r="H112" s="531">
        <f t="shared" si="20"/>
        <v>534.4</v>
      </c>
      <c r="I112" s="264"/>
      <c r="J112" s="531"/>
      <c r="K112" s="553"/>
      <c r="L112" s="531"/>
      <c r="M112" s="553"/>
      <c r="N112" s="531"/>
      <c r="O112" s="553"/>
      <c r="P112" s="531"/>
      <c r="Q112" s="553"/>
      <c r="R112" s="531"/>
      <c r="S112" s="553"/>
      <c r="T112" s="531"/>
      <c r="U112" s="553"/>
      <c r="V112" s="531"/>
      <c r="W112" s="553"/>
      <c r="X112" s="531"/>
      <c r="Y112" s="553"/>
      <c r="Z112" s="531"/>
      <c r="AA112" s="289"/>
      <c r="AB112" s="524"/>
      <c r="AC112" s="531">
        <v>926.8</v>
      </c>
      <c r="AD112" s="264"/>
      <c r="AE112" s="524" t="s">
        <v>103</v>
      </c>
      <c r="AF112" s="531">
        <v>747</v>
      </c>
      <c r="AG112" s="264"/>
      <c r="AH112" s="706"/>
      <c r="AI112" s="264">
        <f t="shared" si="21"/>
        <v>179.8</v>
      </c>
      <c r="AJ112" s="264"/>
      <c r="AK112" s="266">
        <f t="shared" si="22"/>
        <v>0.24099999999999999</v>
      </c>
      <c r="AL112" s="1789"/>
    </row>
    <row r="113" spans="1:38" ht="15" customHeight="1">
      <c r="A113" s="35"/>
      <c r="B113" s="384" t="s">
        <v>132</v>
      </c>
      <c r="C113" s="364"/>
      <c r="D113" s="531">
        <v>21.5</v>
      </c>
      <c r="E113" s="512"/>
      <c r="F113" s="531">
        <v>21.9</v>
      </c>
      <c r="G113" s="512"/>
      <c r="H113" s="531">
        <f t="shared" si="20"/>
        <v>26.800000000000004</v>
      </c>
      <c r="I113" s="264"/>
      <c r="J113" s="531"/>
      <c r="K113" s="553"/>
      <c r="L113" s="531"/>
      <c r="M113" s="553"/>
      <c r="N113" s="531"/>
      <c r="O113" s="553"/>
      <c r="P113" s="531"/>
      <c r="Q113" s="553"/>
      <c r="R113" s="531"/>
      <c r="S113" s="553"/>
      <c r="T113" s="531"/>
      <c r="U113" s="553"/>
      <c r="V113" s="531"/>
      <c r="W113" s="553"/>
      <c r="X113" s="531"/>
      <c r="Y113" s="553"/>
      <c r="Z113" s="531"/>
      <c r="AA113" s="289"/>
      <c r="AB113" s="524"/>
      <c r="AC113" s="531">
        <v>70.2</v>
      </c>
      <c r="AD113" s="264"/>
      <c r="AE113" s="524" t="s">
        <v>103</v>
      </c>
      <c r="AF113" s="531">
        <v>62.7</v>
      </c>
      <c r="AG113" s="264"/>
      <c r="AH113" s="706"/>
      <c r="AI113" s="264">
        <f t="shared" si="21"/>
        <v>7.5</v>
      </c>
      <c r="AJ113" s="264"/>
      <c r="AK113" s="542">
        <f>ROUND(IF(AF113=0,0,AI113/ABS(AF113)),3)</f>
        <v>0.12</v>
      </c>
      <c r="AL113" s="1789"/>
    </row>
    <row r="114" spans="1:38" ht="15" customHeight="1">
      <c r="A114" s="35"/>
      <c r="B114" s="384" t="s">
        <v>133</v>
      </c>
      <c r="C114" s="364"/>
      <c r="D114" s="531">
        <v>0.2</v>
      </c>
      <c r="E114" s="512"/>
      <c r="F114" s="531">
        <v>53.5</v>
      </c>
      <c r="G114" s="512"/>
      <c r="H114" s="531">
        <f t="shared" si="20"/>
        <v>19.099999999999998</v>
      </c>
      <c r="I114" s="264"/>
      <c r="J114" s="531"/>
      <c r="K114" s="553"/>
      <c r="L114" s="531"/>
      <c r="M114" s="553"/>
      <c r="N114" s="531"/>
      <c r="O114" s="553"/>
      <c r="P114" s="531"/>
      <c r="Q114" s="553"/>
      <c r="R114" s="531"/>
      <c r="S114" s="553"/>
      <c r="T114" s="531"/>
      <c r="U114" s="553"/>
      <c r="V114" s="531"/>
      <c r="W114" s="553"/>
      <c r="X114" s="531"/>
      <c r="Y114" s="553"/>
      <c r="Z114" s="531"/>
      <c r="AA114" s="289"/>
      <c r="AB114" s="524"/>
      <c r="AC114" s="531">
        <v>72.8</v>
      </c>
      <c r="AD114" s="264"/>
      <c r="AE114" s="524" t="s">
        <v>103</v>
      </c>
      <c r="AF114" s="531">
        <v>72.800000000000011</v>
      </c>
      <c r="AG114" s="367"/>
      <c r="AH114" s="711"/>
      <c r="AI114" s="264">
        <f t="shared" si="21"/>
        <v>0</v>
      </c>
      <c r="AJ114" s="367"/>
      <c r="AK114" s="542">
        <f>ROUND(IF(AF114=0,1,AI114/ABS(AF114)),3)</f>
        <v>0</v>
      </c>
      <c r="AL114" s="1789"/>
    </row>
    <row r="115" spans="1:38" ht="15" customHeight="1">
      <c r="A115" s="35"/>
      <c r="B115" s="291" t="s">
        <v>452</v>
      </c>
      <c r="C115" s="364"/>
      <c r="D115" s="673">
        <f>ROUND(SUM(D105:D114),1)</f>
        <v>7415.3</v>
      </c>
      <c r="E115" s="13"/>
      <c r="F115" s="673">
        <f>ROUND(SUM(F105:F114),1)</f>
        <v>10187.799999999999</v>
      </c>
      <c r="G115" s="13"/>
      <c r="H115" s="673">
        <f>ROUND(SUM(H105:H114),1)</f>
        <v>6173.6</v>
      </c>
      <c r="I115" s="13"/>
      <c r="J115" s="673">
        <f>ROUND(SUM(J105:J114),1)</f>
        <v>0</v>
      </c>
      <c r="K115" s="13"/>
      <c r="L115" s="673">
        <f>ROUND(SUM(L105:L114),1)</f>
        <v>0</v>
      </c>
      <c r="M115" s="13"/>
      <c r="N115" s="673">
        <f>ROUND(SUM(N105:N114),1)</f>
        <v>0</v>
      </c>
      <c r="O115" s="13"/>
      <c r="P115" s="673">
        <f>ROUND(SUM(P105:P114),1)</f>
        <v>0</v>
      </c>
      <c r="Q115" s="13"/>
      <c r="R115" s="673">
        <f>ROUND(SUM(R105:R114),1)</f>
        <v>0</v>
      </c>
      <c r="S115" s="13"/>
      <c r="T115" s="673">
        <f>ROUND(SUM(T105:T114),1)</f>
        <v>0</v>
      </c>
      <c r="U115" s="13"/>
      <c r="V115" s="673">
        <f>ROUND(SUM(V105:V114),1)</f>
        <v>0</v>
      </c>
      <c r="W115" s="13"/>
      <c r="X115" s="673">
        <f>ROUND(SUM(X105:X114),1)</f>
        <v>0</v>
      </c>
      <c r="Y115" s="13"/>
      <c r="Z115" s="673">
        <f>ROUND(SUM(Z105:Z114),1)</f>
        <v>0</v>
      </c>
      <c r="AA115" s="40"/>
      <c r="AB115" s="671"/>
      <c r="AC115" s="673">
        <f>ROUND(SUM(AC105:AC114),1)</f>
        <v>23776.7</v>
      </c>
      <c r="AD115" s="13"/>
      <c r="AE115" s="669" t="s">
        <v>103</v>
      </c>
      <c r="AF115" s="673">
        <f>ROUND(SUM(AF105:AF114),1)</f>
        <v>21947</v>
      </c>
      <c r="AG115" s="13"/>
      <c r="AH115" s="707"/>
      <c r="AI115" s="673">
        <f>ROUND(SUM(+AC115-AF115),1)</f>
        <v>1829.7</v>
      </c>
      <c r="AJ115" s="13"/>
      <c r="AK115" s="1194">
        <f>ROUND(SUM(AI115/AF115),3)</f>
        <v>8.3000000000000004E-2</v>
      </c>
      <c r="AL115" s="1789"/>
    </row>
    <row r="116" spans="1:38" ht="15" customHeight="1">
      <c r="A116" s="35"/>
      <c r="B116" s="291" t="s">
        <v>453</v>
      </c>
      <c r="C116" s="3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8"/>
      <c r="AB116" s="1023"/>
      <c r="AC116" s="264"/>
      <c r="AD116" s="264"/>
      <c r="AE116" s="524"/>
      <c r="AF116" s="264"/>
      <c r="AG116" s="264"/>
      <c r="AH116" s="706"/>
      <c r="AI116" s="264"/>
      <c r="AJ116" s="264"/>
      <c r="AK116" s="283"/>
      <c r="AL116" s="1789"/>
    </row>
    <row r="117" spans="1:38" ht="15" customHeight="1">
      <c r="A117" s="35"/>
      <c r="B117" s="291" t="s">
        <v>454</v>
      </c>
      <c r="C117" s="364"/>
      <c r="D117" s="531">
        <v>1212.8</v>
      </c>
      <c r="E117" s="512"/>
      <c r="F117" s="531">
        <v>910.00000000000023</v>
      </c>
      <c r="G117" s="512"/>
      <c r="H117" s="531">
        <f>$AC117-F117-D117</f>
        <v>914.00000000000023</v>
      </c>
      <c r="I117" s="264"/>
      <c r="J117" s="531"/>
      <c r="K117" s="553"/>
      <c r="L117" s="531"/>
      <c r="M117" s="553"/>
      <c r="N117" s="531"/>
      <c r="O117" s="553"/>
      <c r="P117" s="531"/>
      <c r="Q117" s="553"/>
      <c r="R117" s="531"/>
      <c r="S117" s="553"/>
      <c r="T117" s="531"/>
      <c r="U117" s="553"/>
      <c r="V117" s="531"/>
      <c r="W117" s="553"/>
      <c r="X117" s="531"/>
      <c r="Y117" s="553"/>
      <c r="Z117" s="531"/>
      <c r="AA117" s="289"/>
      <c r="AB117" s="524"/>
      <c r="AC117" s="531">
        <v>3036.8</v>
      </c>
      <c r="AD117" s="264"/>
      <c r="AE117" s="524" t="s">
        <v>103</v>
      </c>
      <c r="AF117" s="531">
        <v>2972.2</v>
      </c>
      <c r="AG117" s="264"/>
      <c r="AH117" s="706"/>
      <c r="AI117" s="264">
        <f>ROUND(SUM(+AC117-AF117),1)</f>
        <v>64.599999999999994</v>
      </c>
      <c r="AJ117" s="264"/>
      <c r="AK117" s="266">
        <f>ROUND(IF(AF117=0,0,AI117/ABS(AF117)),3)</f>
        <v>2.1999999999999999E-2</v>
      </c>
      <c r="AL117" s="1789"/>
    </row>
    <row r="118" spans="1:38" ht="15" customHeight="1">
      <c r="A118" s="35"/>
      <c r="B118" s="412" t="s">
        <v>455</v>
      </c>
      <c r="C118" s="364"/>
      <c r="D118" s="531">
        <v>213.6</v>
      </c>
      <c r="E118" s="512"/>
      <c r="F118" s="531">
        <v>184.79999999999998</v>
      </c>
      <c r="G118" s="512"/>
      <c r="H118" s="531">
        <f t="shared" ref="H118:H119" si="23">$AC118-F118-D118</f>
        <v>347.1</v>
      </c>
      <c r="I118" s="264"/>
      <c r="J118" s="531"/>
      <c r="K118" s="553"/>
      <c r="L118" s="531"/>
      <c r="M118" s="553"/>
      <c r="N118" s="531"/>
      <c r="O118" s="553"/>
      <c r="P118" s="531"/>
      <c r="Q118" s="553"/>
      <c r="R118" s="531"/>
      <c r="S118" s="553"/>
      <c r="T118" s="531"/>
      <c r="U118" s="553"/>
      <c r="V118" s="531"/>
      <c r="W118" s="553"/>
      <c r="X118" s="531"/>
      <c r="Y118" s="553"/>
      <c r="Z118" s="531"/>
      <c r="AA118" s="289"/>
      <c r="AB118" s="524"/>
      <c r="AC118" s="531">
        <v>745.5</v>
      </c>
      <c r="AD118" s="264"/>
      <c r="AE118" s="524" t="s">
        <v>103</v>
      </c>
      <c r="AF118" s="531">
        <v>677.1</v>
      </c>
      <c r="AG118" s="264"/>
      <c r="AH118" s="706"/>
      <c r="AI118" s="264">
        <f>ROUND(SUM(+AC118-AF118),1)</f>
        <v>68.400000000000006</v>
      </c>
      <c r="AJ118" s="264"/>
      <c r="AK118" s="266">
        <f>ROUND(IF(AF118=0,0,AI118/ABS(AF118)),3)</f>
        <v>0.10100000000000001</v>
      </c>
      <c r="AL118" s="1789"/>
    </row>
    <row r="119" spans="1:38" ht="15" customHeight="1">
      <c r="A119" s="35"/>
      <c r="B119" s="412" t="s">
        <v>456</v>
      </c>
      <c r="C119" s="364"/>
      <c r="D119" s="531">
        <v>783.3</v>
      </c>
      <c r="E119" s="512"/>
      <c r="F119" s="531">
        <v>701.40000000000009</v>
      </c>
      <c r="G119" s="512"/>
      <c r="H119" s="531">
        <f t="shared" si="23"/>
        <v>862.2</v>
      </c>
      <c r="I119" s="264"/>
      <c r="J119" s="531"/>
      <c r="K119" s="553"/>
      <c r="L119" s="531"/>
      <c r="M119" s="553"/>
      <c r="N119" s="531"/>
      <c r="O119" s="553"/>
      <c r="P119" s="531"/>
      <c r="Q119" s="553"/>
      <c r="R119" s="531"/>
      <c r="S119" s="553"/>
      <c r="T119" s="531"/>
      <c r="U119" s="553"/>
      <c r="V119" s="531"/>
      <c r="W119" s="553"/>
      <c r="X119" s="531"/>
      <c r="Y119" s="553"/>
      <c r="Z119" s="531"/>
      <c r="AA119" s="289"/>
      <c r="AB119" s="524"/>
      <c r="AC119" s="531">
        <v>2346.9</v>
      </c>
      <c r="AD119" s="264"/>
      <c r="AE119" s="524" t="s">
        <v>103</v>
      </c>
      <c r="AF119" s="531">
        <v>2080.6</v>
      </c>
      <c r="AG119" s="264"/>
      <c r="AH119" s="706"/>
      <c r="AI119" s="382">
        <f>ROUND(SUM(+AC119-AF119),1)</f>
        <v>266.3</v>
      </c>
      <c r="AJ119" s="264"/>
      <c r="AK119" s="533">
        <f>ROUND(IF(AF119=0,0,AI119/ABS(AF119)),3)</f>
        <v>0.128</v>
      </c>
      <c r="AL119" s="1789"/>
    </row>
    <row r="120" spans="1:38" ht="7.5" customHeight="1">
      <c r="A120" s="35"/>
      <c r="B120" s="291"/>
      <c r="C120" s="364"/>
      <c r="D120" s="615"/>
      <c r="E120" s="264"/>
      <c r="F120" s="615"/>
      <c r="G120" s="264"/>
      <c r="H120" s="615"/>
      <c r="I120" s="264"/>
      <c r="J120" s="615"/>
      <c r="K120" s="264"/>
      <c r="L120" s="615"/>
      <c r="M120" s="264"/>
      <c r="N120" s="615"/>
      <c r="O120" s="264"/>
      <c r="P120" s="615"/>
      <c r="Q120" s="264"/>
      <c r="R120" s="1026"/>
      <c r="S120" s="264"/>
      <c r="T120" s="615"/>
      <c r="U120" s="264"/>
      <c r="V120" s="615"/>
      <c r="W120" s="264"/>
      <c r="X120" s="615"/>
      <c r="Y120" s="264"/>
      <c r="Z120" s="615"/>
      <c r="AA120" s="268"/>
      <c r="AB120" s="1023"/>
      <c r="AC120" s="615"/>
      <c r="AD120" s="264"/>
      <c r="AE120" s="524"/>
      <c r="AF120" s="615"/>
      <c r="AG120" s="264"/>
      <c r="AH120" s="706"/>
      <c r="AI120" s="264"/>
      <c r="AJ120" s="264"/>
      <c r="AK120" s="283"/>
      <c r="AL120" s="1789"/>
    </row>
    <row r="121" spans="1:38" ht="15" customHeight="1">
      <c r="A121" s="35"/>
      <c r="B121" s="3" t="s">
        <v>457</v>
      </c>
      <c r="C121" s="364"/>
      <c r="D121" s="13">
        <f>ROUND(SUM(D117:D119)+D115,1)</f>
        <v>9625</v>
      </c>
      <c r="E121" s="13"/>
      <c r="F121" s="13">
        <f>ROUND(SUM(F117:F119)+F115,1)</f>
        <v>11984</v>
      </c>
      <c r="G121" s="13"/>
      <c r="H121" s="13">
        <f>ROUND(SUM(H117:H119)+H115,1)</f>
        <v>8296.9</v>
      </c>
      <c r="I121" s="13"/>
      <c r="J121" s="13">
        <f>ROUND(SUM(J117:J119)+J115,1)</f>
        <v>0</v>
      </c>
      <c r="K121" s="13"/>
      <c r="L121" s="13">
        <f>ROUND(SUM(L117:L119)+L115,1)</f>
        <v>0</v>
      </c>
      <c r="M121" s="13"/>
      <c r="N121" s="13">
        <f>ROUND(SUM(N117:N119)+N115,1)</f>
        <v>0</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1"/>
      <c r="AC121" s="13">
        <f>ROUND(SUM(AC117:AC119)+AC115,1)</f>
        <v>29905.9</v>
      </c>
      <c r="AD121" s="13"/>
      <c r="AE121" s="669"/>
      <c r="AF121" s="13">
        <f>ROUND(SUM(AF117:AF119)+AF115,1)</f>
        <v>27676.9</v>
      </c>
      <c r="AG121" s="13"/>
      <c r="AH121" s="707"/>
      <c r="AI121" s="357">
        <f>ROUND(SUM(AI115:AI119),1)</f>
        <v>2229</v>
      </c>
      <c r="AJ121" s="13"/>
      <c r="AK121" s="1028">
        <f>ROUND(SUM(AI121/AF121),3)</f>
        <v>8.1000000000000003E-2</v>
      </c>
      <c r="AL121" s="1789"/>
    </row>
    <row r="122" spans="1:38" ht="15" customHeight="1">
      <c r="A122" s="35"/>
      <c r="B122" s="291"/>
      <c r="C122" s="364"/>
      <c r="D122" s="615"/>
      <c r="E122" s="264"/>
      <c r="F122" s="615"/>
      <c r="G122" s="264"/>
      <c r="H122" s="615"/>
      <c r="I122" s="264"/>
      <c r="J122" s="615"/>
      <c r="K122" s="264"/>
      <c r="L122" s="615"/>
      <c r="M122" s="264"/>
      <c r="N122" s="615"/>
      <c r="O122" s="264"/>
      <c r="P122" s="615"/>
      <c r="Q122" s="264"/>
      <c r="R122" s="615"/>
      <c r="S122" s="264"/>
      <c r="T122" s="615"/>
      <c r="U122" s="264"/>
      <c r="V122" s="615"/>
      <c r="W122" s="264"/>
      <c r="X122" s="615"/>
      <c r="Y122" s="264"/>
      <c r="Z122" s="615"/>
      <c r="AA122" s="268"/>
      <c r="AB122" s="1023"/>
      <c r="AC122" s="615"/>
      <c r="AD122" s="264"/>
      <c r="AE122" s="524"/>
      <c r="AF122" s="615"/>
      <c r="AG122" s="264"/>
      <c r="AH122" s="706"/>
      <c r="AI122" s="264"/>
      <c r="AJ122" s="264"/>
      <c r="AK122" s="283"/>
      <c r="AL122" s="1789"/>
    </row>
    <row r="123" spans="1:38" ht="15" customHeight="1">
      <c r="A123" s="35"/>
      <c r="B123" s="3" t="s">
        <v>458</v>
      </c>
      <c r="C123" s="3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8"/>
      <c r="AB123" s="1023"/>
      <c r="AC123" s="264"/>
      <c r="AD123" s="264"/>
      <c r="AE123" s="524"/>
      <c r="AF123" s="264"/>
      <c r="AG123" s="264"/>
      <c r="AH123" s="706"/>
      <c r="AI123" s="264"/>
      <c r="AJ123" s="264"/>
      <c r="AK123" s="283"/>
      <c r="AL123" s="1789"/>
    </row>
    <row r="124" spans="1:38" ht="15" customHeight="1">
      <c r="A124" s="35"/>
      <c r="B124" s="3" t="s">
        <v>144</v>
      </c>
      <c r="C124" s="364"/>
      <c r="D124" s="13">
        <f>ROUND(SUM(D101-D121),1)</f>
        <v>-1975.5</v>
      </c>
      <c r="E124" s="13"/>
      <c r="F124" s="13">
        <f>ROUND(SUM(F101-F121),1)</f>
        <v>-8533.2999999999993</v>
      </c>
      <c r="G124" s="13"/>
      <c r="H124" s="13">
        <f>ROUND(SUM(H101-H121),1)</f>
        <v>1120</v>
      </c>
      <c r="I124" s="13"/>
      <c r="J124" s="13">
        <f>ROUND(SUM(J101-J121),1)</f>
        <v>0</v>
      </c>
      <c r="K124" s="13"/>
      <c r="L124" s="13">
        <f>ROUND(SUM(L101-L121),1)</f>
        <v>0</v>
      </c>
      <c r="M124" s="13"/>
      <c r="N124" s="13">
        <f>ROUND(SUM(N101-N121),1)</f>
        <v>0</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1"/>
      <c r="AC124" s="13">
        <f>ROUND(SUM(AC101-AC121),1)</f>
        <v>-9388.7999999999993</v>
      </c>
      <c r="AD124" s="13"/>
      <c r="AE124" s="669"/>
      <c r="AF124" s="13">
        <f>ROUND(SUM(AF101-AF121),1)</f>
        <v>-9305.7000000000007</v>
      </c>
      <c r="AG124" s="13"/>
      <c r="AH124" s="707"/>
      <c r="AI124" s="357">
        <f>ROUND(SUM(+AC124-AF124),1)</f>
        <v>-83.1</v>
      </c>
      <c r="AJ124" s="13"/>
      <c r="AK124" s="611">
        <f>-ROUND(AI124/AF124,3)</f>
        <v>-8.9999999999999993E-3</v>
      </c>
      <c r="AL124" s="1789"/>
    </row>
    <row r="125" spans="1:38" ht="15" customHeight="1">
      <c r="A125" s="35"/>
      <c r="B125" s="291"/>
      <c r="C125" s="364"/>
      <c r="D125" s="615"/>
      <c r="E125" s="264"/>
      <c r="F125" s="615"/>
      <c r="G125" s="264"/>
      <c r="H125" s="615"/>
      <c r="I125" s="264"/>
      <c r="J125" s="615"/>
      <c r="K125" s="264"/>
      <c r="L125" s="615"/>
      <c r="M125" s="264"/>
      <c r="N125" s="615"/>
      <c r="O125" s="264"/>
      <c r="P125" s="615"/>
      <c r="Q125" s="264"/>
      <c r="R125" s="615"/>
      <c r="S125" s="264"/>
      <c r="T125" s="615"/>
      <c r="U125" s="264"/>
      <c r="V125" s="615"/>
      <c r="W125" s="264"/>
      <c r="X125" s="615"/>
      <c r="Y125" s="264"/>
      <c r="Z125" s="615"/>
      <c r="AA125" s="268"/>
      <c r="AB125" s="1023"/>
      <c r="AC125" s="615"/>
      <c r="AD125" s="264"/>
      <c r="AE125" s="524"/>
      <c r="AF125" s="615"/>
      <c r="AG125" s="615"/>
      <c r="AH125" s="706"/>
      <c r="AI125" s="264"/>
      <c r="AJ125" s="264"/>
      <c r="AK125" s="283"/>
      <c r="AL125" s="1789"/>
    </row>
    <row r="126" spans="1:38" ht="15" customHeight="1">
      <c r="A126" s="35"/>
      <c r="B126" s="3" t="s">
        <v>145</v>
      </c>
      <c r="C126" s="3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8"/>
      <c r="AB126" s="1023"/>
      <c r="AC126" s="264"/>
      <c r="AD126" s="264"/>
      <c r="AE126" s="524"/>
      <c r="AF126" s="264"/>
      <c r="AG126" s="264"/>
      <c r="AH126" s="706"/>
      <c r="AI126" s="264"/>
      <c r="AJ126" s="264"/>
      <c r="AK126" s="283"/>
      <c r="AL126" s="1789"/>
    </row>
    <row r="127" spans="1:38" ht="15" customHeight="1">
      <c r="A127" s="35"/>
      <c r="B127" s="3"/>
      <c r="C127" s="3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8"/>
      <c r="AB127" s="1023"/>
      <c r="AC127" s="264"/>
      <c r="AD127" s="264"/>
      <c r="AE127" s="524"/>
      <c r="AF127" s="264"/>
      <c r="AG127" s="264"/>
      <c r="AH127" s="706"/>
      <c r="AI127" s="264"/>
      <c r="AJ127" s="264"/>
      <c r="AK127" s="283"/>
      <c r="AL127" s="1789"/>
    </row>
    <row r="128" spans="1:38" ht="15" customHeight="1">
      <c r="A128" s="35"/>
      <c r="B128" s="412" t="s">
        <v>459</v>
      </c>
      <c r="C128" s="364"/>
      <c r="D128" s="531">
        <v>5278.8</v>
      </c>
      <c r="E128" s="512"/>
      <c r="F128" s="531">
        <v>2135.1999999999998</v>
      </c>
      <c r="G128" s="512"/>
      <c r="H128" s="531">
        <f>$AC128-F128-D128</f>
        <v>5484.4999999999991</v>
      </c>
      <c r="I128" s="264"/>
      <c r="J128" s="531"/>
      <c r="K128" s="553"/>
      <c r="L128" s="531"/>
      <c r="M128" s="553"/>
      <c r="N128" s="531"/>
      <c r="O128" s="553"/>
      <c r="P128" s="531"/>
      <c r="Q128" s="553"/>
      <c r="R128" s="531"/>
      <c r="S128" s="553"/>
      <c r="T128" s="531"/>
      <c r="U128" s="553"/>
      <c r="V128" s="531"/>
      <c r="W128" s="553"/>
      <c r="X128" s="531"/>
      <c r="Y128" s="553"/>
      <c r="Z128" s="531"/>
      <c r="AA128" s="289"/>
      <c r="AB128" s="524"/>
      <c r="AC128" s="531">
        <v>12898.5</v>
      </c>
      <c r="AD128" s="264"/>
      <c r="AE128" s="524" t="s">
        <v>103</v>
      </c>
      <c r="AF128" s="531">
        <v>11594.9</v>
      </c>
      <c r="AG128" s="264"/>
      <c r="AH128" s="706"/>
      <c r="AI128" s="264">
        <f>ROUND(SUM(+AC128-AF128),1)</f>
        <v>1303.5999999999999</v>
      </c>
      <c r="AJ128" s="264"/>
      <c r="AK128" s="266">
        <f>ROUND(IF(AF128=0,0,AI128/ABS(AF128)),3)</f>
        <v>0.112</v>
      </c>
      <c r="AL128" s="1789"/>
    </row>
    <row r="129" spans="1:38" ht="15" customHeight="1">
      <c r="A129" s="35"/>
      <c r="B129" s="412" t="s">
        <v>460</v>
      </c>
      <c r="C129" s="364"/>
      <c r="D129" s="531">
        <v>706.3</v>
      </c>
      <c r="E129" s="512"/>
      <c r="F129" s="531">
        <v>715.90000000000009</v>
      </c>
      <c r="G129" s="512"/>
      <c r="H129" s="531">
        <f t="shared" ref="H129:H135" si="24">$AC129-F129-D129</f>
        <v>1096.9999999999998</v>
      </c>
      <c r="I129" s="264"/>
      <c r="J129" s="531"/>
      <c r="K129" s="553"/>
      <c r="L129" s="531"/>
      <c r="M129" s="553"/>
      <c r="N129" s="531"/>
      <c r="O129" s="553"/>
      <c r="P129" s="531"/>
      <c r="Q129" s="553"/>
      <c r="R129" s="531"/>
      <c r="S129" s="553"/>
      <c r="T129" s="531"/>
      <c r="U129" s="553"/>
      <c r="V129" s="531"/>
      <c r="W129" s="553"/>
      <c r="X129" s="531"/>
      <c r="Y129" s="553"/>
      <c r="Z129" s="531"/>
      <c r="AA129" s="289"/>
      <c r="AB129" s="524"/>
      <c r="AC129" s="531">
        <v>2519.1999999999998</v>
      </c>
      <c r="AD129" s="264"/>
      <c r="AE129" s="524" t="s">
        <v>103</v>
      </c>
      <c r="AF129" s="531">
        <v>2392.1</v>
      </c>
      <c r="AG129" s="264"/>
      <c r="AH129" s="706"/>
      <c r="AI129" s="264">
        <f>ROUND(SUM(+AC129-AF129),1)</f>
        <v>127.1</v>
      </c>
      <c r="AJ129" s="264"/>
      <c r="AK129" s="266">
        <f>ROUND(IF(AF129=0,0,AI129/ABS(AF129)),3)</f>
        <v>5.2999999999999999E-2</v>
      </c>
      <c r="AL129" s="1789"/>
    </row>
    <row r="130" spans="1:38" ht="15" customHeight="1">
      <c r="A130" s="35"/>
      <c r="B130" s="412" t="s">
        <v>461</v>
      </c>
      <c r="C130" s="364"/>
      <c r="D130" s="531">
        <v>115.9</v>
      </c>
      <c r="E130" s="512"/>
      <c r="F130" s="531">
        <v>102.1</v>
      </c>
      <c r="G130" s="512"/>
      <c r="H130" s="531">
        <f t="shared" si="24"/>
        <v>95.399999999999977</v>
      </c>
      <c r="I130" s="264"/>
      <c r="J130" s="531"/>
      <c r="K130" s="553"/>
      <c r="L130" s="531"/>
      <c r="M130" s="553"/>
      <c r="N130" s="531"/>
      <c r="O130" s="553"/>
      <c r="P130" s="531"/>
      <c r="Q130" s="553"/>
      <c r="R130" s="531"/>
      <c r="S130" s="553"/>
      <c r="T130" s="531"/>
      <c r="U130" s="553"/>
      <c r="V130" s="531"/>
      <c r="W130" s="553"/>
      <c r="X130" s="531"/>
      <c r="Y130" s="553"/>
      <c r="Z130" s="531"/>
      <c r="AA130" s="289"/>
      <c r="AB130" s="524"/>
      <c r="AC130" s="531">
        <v>313.39999999999998</v>
      </c>
      <c r="AD130" s="264"/>
      <c r="AE130" s="524" t="s">
        <v>103</v>
      </c>
      <c r="AF130" s="531">
        <v>283.10000000000002</v>
      </c>
      <c r="AG130" s="264"/>
      <c r="AH130" s="706"/>
      <c r="AI130" s="264">
        <f>ROUND(SUM(+AC130-AF130),1)</f>
        <v>30.3</v>
      </c>
      <c r="AJ130" s="264"/>
      <c r="AK130" s="266">
        <f>ROUND(IF(AF130=0,0,AI130/ABS(AF130)),3)</f>
        <v>0.107</v>
      </c>
      <c r="AL130" s="1789"/>
    </row>
    <row r="131" spans="1:38" ht="15" customHeight="1">
      <c r="A131" s="35"/>
      <c r="B131" s="412" t="s">
        <v>462</v>
      </c>
      <c r="C131" s="364"/>
      <c r="D131" s="531">
        <v>256.89999999999964</v>
      </c>
      <c r="E131" s="512"/>
      <c r="F131" s="531">
        <v>159.10000000000093</v>
      </c>
      <c r="G131" s="512"/>
      <c r="H131" s="531">
        <f t="shared" si="24"/>
        <v>206.20000000000016</v>
      </c>
      <c r="I131" s="264"/>
      <c r="J131" s="531"/>
      <c r="K131" s="553"/>
      <c r="L131" s="531"/>
      <c r="M131" s="553"/>
      <c r="N131" s="531"/>
      <c r="O131" s="553"/>
      <c r="P131" s="531"/>
      <c r="Q131" s="553"/>
      <c r="R131" s="531"/>
      <c r="S131" s="553"/>
      <c r="T131" s="531"/>
      <c r="U131" s="553"/>
      <c r="V131" s="531"/>
      <c r="W131" s="553"/>
      <c r="X131" s="531"/>
      <c r="Y131" s="553"/>
      <c r="Z131" s="531"/>
      <c r="AA131" s="289"/>
      <c r="AB131" s="524"/>
      <c r="AC131" s="531">
        <v>622.20000000000073</v>
      </c>
      <c r="AD131" s="264"/>
      <c r="AE131" s="524" t="s">
        <v>103</v>
      </c>
      <c r="AF131" s="531">
        <v>611.79999999999927</v>
      </c>
      <c r="AG131" s="264"/>
      <c r="AH131" s="706"/>
      <c r="AI131" s="264">
        <f>ROUND(SUM(+AC131-AF131),1)</f>
        <v>10.4</v>
      </c>
      <c r="AJ131" s="264"/>
      <c r="AK131" s="542">
        <f>ROUND(IF(AF131=0,0,AI131/ABS(AF131)),3)</f>
        <v>1.7000000000000001E-2</v>
      </c>
      <c r="AL131" s="1789"/>
    </row>
    <row r="132" spans="1:38" ht="15" customHeight="1">
      <c r="A132" s="35" t="s">
        <v>103</v>
      </c>
      <c r="B132" s="291" t="s">
        <v>463</v>
      </c>
      <c r="C132" s="364"/>
      <c r="D132" s="531">
        <v>-441.4</v>
      </c>
      <c r="E132" s="512"/>
      <c r="F132" s="531">
        <v>-400.1</v>
      </c>
      <c r="G132" s="512"/>
      <c r="H132" s="531">
        <f t="shared" si="24"/>
        <v>1164.8000000000002</v>
      </c>
      <c r="I132" s="264"/>
      <c r="J132" s="531"/>
      <c r="K132" s="553"/>
      <c r="L132" s="531"/>
      <c r="M132" s="553"/>
      <c r="N132" s="531"/>
      <c r="O132" s="553"/>
      <c r="P132" s="531"/>
      <c r="Q132" s="553"/>
      <c r="R132" s="531"/>
      <c r="S132" s="553"/>
      <c r="T132" s="531"/>
      <c r="U132" s="553"/>
      <c r="V132" s="531"/>
      <c r="W132" s="553"/>
      <c r="X132" s="531"/>
      <c r="Y132" s="553"/>
      <c r="Z132" s="531"/>
      <c r="AA132" s="289"/>
      <c r="AB132" s="524"/>
      <c r="AC132" s="531">
        <v>323.3</v>
      </c>
      <c r="AD132" s="264"/>
      <c r="AE132" s="524" t="s">
        <v>103</v>
      </c>
      <c r="AF132" s="531">
        <v>-1537.1</v>
      </c>
      <c r="AG132" s="264"/>
      <c r="AH132" s="706"/>
      <c r="AI132" s="264">
        <f>ROUND(SUM(+AC132-AF132)*-1,1)</f>
        <v>-1860.4</v>
      </c>
      <c r="AJ132" s="264"/>
      <c r="AK132" s="542">
        <f t="shared" ref="AK132" si="25">ROUND(IF(AF132=0,0,AI132/ABS(AF132)),3)</f>
        <v>-1.21</v>
      </c>
      <c r="AL132" s="1789"/>
    </row>
    <row r="133" spans="1:38" ht="15" customHeight="1">
      <c r="A133" s="35"/>
      <c r="B133" s="291" t="s">
        <v>464</v>
      </c>
      <c r="C133" s="364"/>
      <c r="D133" s="531">
        <v>0</v>
      </c>
      <c r="E133" s="512"/>
      <c r="F133" s="531">
        <v>0</v>
      </c>
      <c r="G133" s="512"/>
      <c r="H133" s="531">
        <f t="shared" si="24"/>
        <v>-16.5</v>
      </c>
      <c r="I133" s="264"/>
      <c r="J133" s="531"/>
      <c r="K133" s="553"/>
      <c r="L133" s="531"/>
      <c r="M133" s="553"/>
      <c r="N133" s="531"/>
      <c r="O133" s="553"/>
      <c r="P133" s="531"/>
      <c r="Q133" s="553"/>
      <c r="R133" s="531"/>
      <c r="S133" s="553"/>
      <c r="T133" s="531"/>
      <c r="U133" s="553"/>
      <c r="V133" s="531"/>
      <c r="W133" s="553"/>
      <c r="X133" s="531"/>
      <c r="Y133" s="553"/>
      <c r="Z133" s="531"/>
      <c r="AA133" s="289"/>
      <c r="AB133" s="524"/>
      <c r="AC133" s="531">
        <v>-16.5</v>
      </c>
      <c r="AD133" s="264"/>
      <c r="AE133" s="524" t="s">
        <v>103</v>
      </c>
      <c r="AF133" s="531">
        <v>-16.5</v>
      </c>
      <c r="AG133" s="264"/>
      <c r="AH133" s="706"/>
      <c r="AI133" s="264">
        <f>ROUND(SUM(+AC133-AF133)*-1,1)</f>
        <v>0</v>
      </c>
      <c r="AJ133" s="264"/>
      <c r="AK133" s="266">
        <f>ROUND(IF(AF133=0,0,AI133/ABS(AF133)),3)</f>
        <v>0</v>
      </c>
      <c r="AL133" s="1789"/>
    </row>
    <row r="134" spans="1:38" ht="15" customHeight="1">
      <c r="A134" s="35"/>
      <c r="B134" s="291" t="s">
        <v>465</v>
      </c>
      <c r="C134" s="364"/>
      <c r="D134" s="531">
        <v>-7.4</v>
      </c>
      <c r="E134" s="512"/>
      <c r="F134" s="531">
        <v>0</v>
      </c>
      <c r="G134" s="512"/>
      <c r="H134" s="531">
        <f t="shared" si="24"/>
        <v>0</v>
      </c>
      <c r="I134" s="264"/>
      <c r="J134" s="531"/>
      <c r="K134" s="553"/>
      <c r="L134" s="531"/>
      <c r="M134" s="553"/>
      <c r="N134" s="531"/>
      <c r="O134" s="553"/>
      <c r="P134" s="531"/>
      <c r="Q134" s="553"/>
      <c r="R134" s="531"/>
      <c r="S134" s="553"/>
      <c r="T134" s="531"/>
      <c r="U134" s="553"/>
      <c r="V134" s="531"/>
      <c r="W134" s="553"/>
      <c r="X134" s="531"/>
      <c r="Y134" s="553"/>
      <c r="Z134" s="531"/>
      <c r="AA134" s="289"/>
      <c r="AB134" s="524"/>
      <c r="AC134" s="531">
        <v>-7.4</v>
      </c>
      <c r="AD134" s="264"/>
      <c r="AE134" s="524" t="s">
        <v>103</v>
      </c>
      <c r="AF134" s="531">
        <v>-7.1</v>
      </c>
      <c r="AG134" s="264"/>
      <c r="AH134" s="706"/>
      <c r="AI134" s="264">
        <f>ROUND(SUM(+AC134-AF134)*-1,1)</f>
        <v>0.3</v>
      </c>
      <c r="AJ134" s="264"/>
      <c r="AK134" s="266">
        <f>ROUND(IF(AF134=0,0,AI134/ABS(AF134)),3)</f>
        <v>4.2000000000000003E-2</v>
      </c>
      <c r="AL134" s="1789"/>
    </row>
    <row r="135" spans="1:38" ht="15" customHeight="1">
      <c r="A135" s="35"/>
      <c r="B135" s="291" t="s">
        <v>466</v>
      </c>
      <c r="C135" s="364"/>
      <c r="D135" s="531">
        <v>-216.60000000000002</v>
      </c>
      <c r="E135" s="512"/>
      <c r="F135" s="531">
        <v>-412.0999999999998</v>
      </c>
      <c r="G135" s="512"/>
      <c r="H135" s="531">
        <f t="shared" si="24"/>
        <v>-669.20000000000027</v>
      </c>
      <c r="I135" s="264"/>
      <c r="J135" s="531"/>
      <c r="K135" s="553"/>
      <c r="L135" s="531"/>
      <c r="M135" s="553"/>
      <c r="N135" s="531"/>
      <c r="O135" s="553"/>
      <c r="P135" s="531"/>
      <c r="Q135" s="553"/>
      <c r="R135" s="531"/>
      <c r="S135" s="553"/>
      <c r="T135" s="531"/>
      <c r="U135" s="553"/>
      <c r="V135" s="531"/>
      <c r="W135" s="553"/>
      <c r="X135" s="531"/>
      <c r="Y135" s="553"/>
      <c r="Z135" s="531"/>
      <c r="AA135" s="289"/>
      <c r="AB135" s="524"/>
      <c r="AC135" s="531">
        <v>-1297.9000000000001</v>
      </c>
      <c r="AD135" s="264"/>
      <c r="AE135" s="524" t="s">
        <v>103</v>
      </c>
      <c r="AF135" s="531">
        <v>-7341.5999999999985</v>
      </c>
      <c r="AG135" s="264"/>
      <c r="AH135" s="706"/>
      <c r="AI135" s="382">
        <f>ROUND(SUM(+AC135-AF135)*-1,1)</f>
        <v>-6043.7</v>
      </c>
      <c r="AJ135" s="264"/>
      <c r="AK135" s="533">
        <f>ROUND(IF(AF135=0,0,AI135/ABS(AF135)),3)</f>
        <v>-0.82299999999999995</v>
      </c>
      <c r="AL135" s="1789"/>
    </row>
    <row r="136" spans="1:38" ht="5.0999999999999996" customHeight="1">
      <c r="A136" s="35"/>
      <c r="B136" s="291"/>
      <c r="C136" s="364"/>
      <c r="D136" s="615"/>
      <c r="E136" s="264"/>
      <c r="F136" s="615"/>
      <c r="G136" s="264"/>
      <c r="H136" s="615"/>
      <c r="I136" s="264"/>
      <c r="J136" s="615"/>
      <c r="K136" s="264"/>
      <c r="L136" s="615"/>
      <c r="M136" s="264"/>
      <c r="N136" s="615"/>
      <c r="O136" s="264"/>
      <c r="P136" s="615"/>
      <c r="Q136" s="264"/>
      <c r="R136" s="615"/>
      <c r="S136" s="264"/>
      <c r="T136" s="615"/>
      <c r="U136" s="264"/>
      <c r="V136" s="615"/>
      <c r="W136" s="264"/>
      <c r="X136" s="615"/>
      <c r="Y136" s="264"/>
      <c r="Z136" s="615"/>
      <c r="AA136" s="268"/>
      <c r="AB136" s="1023"/>
      <c r="AC136" s="615"/>
      <c r="AD136" s="264"/>
      <c r="AE136" s="524"/>
      <c r="AF136" s="615"/>
      <c r="AG136" s="264"/>
      <c r="AH136" s="706"/>
      <c r="AI136" s="264"/>
      <c r="AJ136" s="264"/>
      <c r="AK136" s="283"/>
      <c r="AL136" s="1789"/>
    </row>
    <row r="137" spans="1:38" ht="15" customHeight="1">
      <c r="A137" s="35"/>
      <c r="B137" s="3" t="s">
        <v>467</v>
      </c>
      <c r="C137" s="3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8"/>
      <c r="Z137" s="268"/>
      <c r="AA137" s="268"/>
      <c r="AB137" s="1023"/>
      <c r="AC137" s="264"/>
      <c r="AD137" s="264"/>
      <c r="AE137" s="524"/>
      <c r="AF137" s="264"/>
      <c r="AG137" s="264"/>
      <c r="AH137" s="706"/>
      <c r="AI137" s="264"/>
      <c r="AJ137" s="264"/>
      <c r="AK137" s="283"/>
      <c r="AL137" s="1789"/>
    </row>
    <row r="138" spans="1:38" ht="15" customHeight="1">
      <c r="A138" s="35"/>
      <c r="B138" s="3" t="s">
        <v>468</v>
      </c>
      <c r="C138" s="364"/>
      <c r="D138" s="13">
        <f>ROUND(SUM(D128:D136),1)</f>
        <v>5692.5</v>
      </c>
      <c r="E138" s="13"/>
      <c r="F138" s="13">
        <f>ROUND(SUM(F128:F136),1)</f>
        <v>2300.1</v>
      </c>
      <c r="G138" s="13"/>
      <c r="H138" s="13">
        <f>ROUND(SUM(H128:H136),1)</f>
        <v>7362.2</v>
      </c>
      <c r="I138" s="13"/>
      <c r="J138" s="13">
        <f>ROUND(SUM(J128:J135),1)</f>
        <v>0</v>
      </c>
      <c r="K138" s="13"/>
      <c r="L138" s="13">
        <f>ROUND(SUM(L128:L135),1)</f>
        <v>0</v>
      </c>
      <c r="M138" s="13"/>
      <c r="N138" s="13">
        <f>ROUND(SUM(N128:N135),1)</f>
        <v>0</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1"/>
      <c r="AC138" s="13">
        <f>ROUND(SUM(AC128:AC136),1)</f>
        <v>15354.8</v>
      </c>
      <c r="AD138" s="13"/>
      <c r="AE138" s="669"/>
      <c r="AF138" s="13">
        <f>ROUND(SUM(AF128:AF136),1)</f>
        <v>5979.6</v>
      </c>
      <c r="AG138" s="13"/>
      <c r="AH138" s="707"/>
      <c r="AI138" s="357">
        <f>ROUND(SUM(+AC138-AF138),1)</f>
        <v>9375.2000000000007</v>
      </c>
      <c r="AJ138" s="13"/>
      <c r="AK138" s="611">
        <f>ROUND(SUM(+AI138/AF138),3)</f>
        <v>1.5680000000000001</v>
      </c>
      <c r="AL138" s="1789"/>
    </row>
    <row r="139" spans="1:38" ht="15" customHeight="1">
      <c r="A139" s="35"/>
      <c r="B139" s="291"/>
      <c r="C139" s="364"/>
      <c r="D139" s="615"/>
      <c r="E139" s="264"/>
      <c r="F139" s="615"/>
      <c r="G139" s="264"/>
      <c r="H139" s="615"/>
      <c r="I139" s="264"/>
      <c r="J139" s="615"/>
      <c r="K139" s="264"/>
      <c r="L139" s="615"/>
      <c r="M139" s="264"/>
      <c r="N139" s="615"/>
      <c r="O139" s="264"/>
      <c r="P139" s="615"/>
      <c r="Q139" s="264"/>
      <c r="R139" s="615"/>
      <c r="S139" s="264"/>
      <c r="T139" s="615"/>
      <c r="U139" s="264"/>
      <c r="V139" s="615"/>
      <c r="W139" s="264"/>
      <c r="X139" s="615"/>
      <c r="Y139" s="268"/>
      <c r="Z139" s="1029"/>
      <c r="AA139" s="268"/>
      <c r="AB139" s="1023"/>
      <c r="AC139" s="615"/>
      <c r="AD139" s="264"/>
      <c r="AE139" s="524"/>
      <c r="AF139" s="615"/>
      <c r="AG139" s="264"/>
      <c r="AH139" s="706"/>
      <c r="AI139" s="422"/>
      <c r="AJ139" s="422"/>
      <c r="AK139" s="328"/>
      <c r="AL139" s="1789"/>
    </row>
    <row r="140" spans="1:38" ht="15" customHeight="1">
      <c r="A140" s="35"/>
      <c r="B140" s="3" t="s">
        <v>469</v>
      </c>
      <c r="C140" s="3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8"/>
      <c r="Z140" s="268"/>
      <c r="AA140" s="268"/>
      <c r="AB140" s="1023"/>
      <c r="AC140" s="264"/>
      <c r="AD140" s="264"/>
      <c r="AE140" s="524"/>
      <c r="AF140" s="264"/>
      <c r="AG140" s="264"/>
      <c r="AH140" s="706"/>
      <c r="AI140" s="422"/>
      <c r="AJ140" s="422"/>
      <c r="AK140" s="328"/>
      <c r="AL140" s="1789"/>
    </row>
    <row r="141" spans="1:38" ht="15" customHeight="1">
      <c r="A141" s="35"/>
      <c r="B141" s="3" t="s">
        <v>470</v>
      </c>
      <c r="C141" s="3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8"/>
      <c r="Z141" s="268"/>
      <c r="AA141" s="268"/>
      <c r="AB141" s="1023"/>
      <c r="AC141" s="264"/>
      <c r="AD141" s="264"/>
      <c r="AE141" s="524"/>
      <c r="AF141" s="264"/>
      <c r="AG141" s="264"/>
      <c r="AH141" s="706"/>
      <c r="AI141" s="422"/>
      <c r="AJ141" s="422"/>
      <c r="AK141" s="328"/>
      <c r="AL141" s="1789"/>
    </row>
    <row r="142" spans="1:38" ht="15" customHeight="1">
      <c r="A142" s="35"/>
      <c r="B142" s="3" t="s">
        <v>471</v>
      </c>
      <c r="C142" s="364"/>
      <c r="D142" s="13">
        <f>ROUND(SUM(D124+D138),1)</f>
        <v>3717</v>
      </c>
      <c r="E142" s="13"/>
      <c r="F142" s="13">
        <f>ROUND(SUM(F124+F138),1)</f>
        <v>-6233.2</v>
      </c>
      <c r="G142" s="13"/>
      <c r="H142" s="13">
        <f>ROUND(SUM(H124+H138),1)</f>
        <v>8482.2000000000007</v>
      </c>
      <c r="I142" s="13"/>
      <c r="J142" s="13">
        <f>ROUND(SUM(J124+J138),1)</f>
        <v>0</v>
      </c>
      <c r="K142" s="13"/>
      <c r="L142" s="13">
        <f>ROUND(SUM(L124+L138),1)</f>
        <v>0</v>
      </c>
      <c r="M142" s="13"/>
      <c r="N142" s="13">
        <f>ROUND(SUM(N124+N138),1)</f>
        <v>0</v>
      </c>
      <c r="O142" s="13"/>
      <c r="P142" s="13">
        <f>ROUND(SUM(P124+P138),1)</f>
        <v>0</v>
      </c>
      <c r="Q142" s="13"/>
      <c r="R142" s="13">
        <f>ROUND(SUM(R124+R138),1)</f>
        <v>0</v>
      </c>
      <c r="S142" s="264"/>
      <c r="T142" s="13">
        <f>ROUND(SUM(T124+T138),1)</f>
        <v>0</v>
      </c>
      <c r="U142" s="264"/>
      <c r="V142" s="13">
        <f>ROUND(SUM(V124+V138),1)</f>
        <v>0</v>
      </c>
      <c r="W142" s="264"/>
      <c r="X142" s="13">
        <f>ROUND(SUM(X124+X138),1)</f>
        <v>0</v>
      </c>
      <c r="Y142" s="268"/>
      <c r="Z142" s="357">
        <f>ROUND(SUM(Z124+Z138),1)</f>
        <v>0</v>
      </c>
      <c r="AA142" s="268"/>
      <c r="AB142" s="1023"/>
      <c r="AC142" s="13">
        <f>ROUND(SUM(AC124+AC138),1)</f>
        <v>5966</v>
      </c>
      <c r="AD142" s="13"/>
      <c r="AE142" s="669"/>
      <c r="AF142" s="13">
        <f>ROUND(SUM(AF124+AF138),1)</f>
        <v>-3326.1</v>
      </c>
      <c r="AG142" s="13"/>
      <c r="AH142" s="707"/>
      <c r="AI142" s="357">
        <f>ROUND(SUM(+AC142-AF142),1)</f>
        <v>9292.1</v>
      </c>
      <c r="AJ142" s="712"/>
      <c r="AK142" s="611">
        <f>ROUND(SUM(AI142/ABS(AF142)),3)</f>
        <v>2.794</v>
      </c>
      <c r="AL142" s="1789"/>
    </row>
    <row r="143" spans="1:38" ht="9" customHeight="1">
      <c r="A143" s="35"/>
      <c r="B143" s="291"/>
      <c r="C143" s="364"/>
      <c r="D143" s="1029"/>
      <c r="E143" s="291"/>
      <c r="F143" s="1113"/>
      <c r="G143" s="291"/>
      <c r="H143" s="988"/>
      <c r="I143" s="291"/>
      <c r="J143" s="615"/>
      <c r="K143" s="291"/>
      <c r="L143" s="988"/>
      <c r="M143" s="291"/>
      <c r="N143" s="988"/>
      <c r="O143" s="291"/>
      <c r="P143" s="988"/>
      <c r="Q143" s="291"/>
      <c r="R143" s="988"/>
      <c r="S143" s="291"/>
      <c r="T143" s="988"/>
      <c r="U143" s="291"/>
      <c r="V143" s="988"/>
      <c r="W143" s="291"/>
      <c r="X143" s="988"/>
      <c r="Y143" s="291"/>
      <c r="Z143" s="364"/>
      <c r="AA143" s="364"/>
      <c r="AB143" s="1023"/>
      <c r="AC143" s="615"/>
      <c r="AD143" s="264"/>
      <c r="AE143" s="524"/>
      <c r="AF143" s="615"/>
      <c r="AG143" s="264"/>
      <c r="AH143" s="706"/>
      <c r="AI143" s="615"/>
      <c r="AJ143" s="422"/>
      <c r="AK143" s="1030"/>
      <c r="AL143" s="1789"/>
    </row>
    <row r="144" spans="1:38" ht="15" customHeight="1" thickBot="1">
      <c r="A144" s="35"/>
      <c r="B144" s="1216" t="s">
        <v>433</v>
      </c>
      <c r="C144" s="364"/>
      <c r="D144" s="70">
        <f>ROUND(SUM(D13+D142),1)</f>
        <v>59894.6</v>
      </c>
      <c r="E144" s="45"/>
      <c r="F144" s="70">
        <f>ROUND(SUM(F13+F142),1)</f>
        <v>53661.4</v>
      </c>
      <c r="G144" s="45"/>
      <c r="H144" s="70">
        <f>ROUND(SUM(H13+H142),1)</f>
        <v>62143.6</v>
      </c>
      <c r="I144" s="45"/>
      <c r="J144" s="70">
        <f>ROUND(SUM(J13+J142),1)</f>
        <v>0</v>
      </c>
      <c r="K144" s="45"/>
      <c r="L144" s="70">
        <f>ROUND(SUM(L13+L142),1)</f>
        <v>0</v>
      </c>
      <c r="M144" s="45"/>
      <c r="N144" s="70">
        <f>ROUND(SUM(N13+N142),1)</f>
        <v>0</v>
      </c>
      <c r="O144" s="45"/>
      <c r="P144" s="70">
        <f>ROUND(SUM(P13+P142),1)</f>
        <v>0</v>
      </c>
      <c r="Q144" s="45"/>
      <c r="R144" s="70">
        <f>ROUND(SUM(R13+R142),1)</f>
        <v>0</v>
      </c>
      <c r="S144" s="45"/>
      <c r="T144" s="70">
        <f>ROUND(SUM(T13+T142),1)</f>
        <v>0</v>
      </c>
      <c r="U144" s="45"/>
      <c r="V144" s="70">
        <f>ROUND(SUM(V13+V142),1)</f>
        <v>0</v>
      </c>
      <c r="W144" s="45"/>
      <c r="X144" s="70">
        <f>ROUND(SUM(X13+X142),1)</f>
        <v>0</v>
      </c>
      <c r="Y144" s="45"/>
      <c r="Z144" s="70">
        <f>ROUND(SUM(Z13+Z142),1)</f>
        <v>0</v>
      </c>
      <c r="AA144" s="45"/>
      <c r="AB144" s="713"/>
      <c r="AC144" s="70">
        <f>ROUND(SUM(AC13+AC142),1)</f>
        <v>62143.6</v>
      </c>
      <c r="AD144" s="13"/>
      <c r="AE144" s="669"/>
      <c r="AF144" s="70">
        <f>ROUND(SUM(AF13+AF142),1)</f>
        <v>53589.7</v>
      </c>
      <c r="AG144" s="45"/>
      <c r="AH144" s="704"/>
      <c r="AI144" s="70">
        <f>ROUND(SUM(+AC144-AF144),1)</f>
        <v>8553.9</v>
      </c>
      <c r="AJ144" s="712"/>
      <c r="AK144" s="77">
        <f>ROUND(SUM(+AI144/AF144),3)</f>
        <v>0.16</v>
      </c>
      <c r="AL144" s="1789"/>
    </row>
    <row r="145" spans="1:37" ht="15" customHeight="1" thickTop="1">
      <c r="A145" s="35"/>
      <c r="B145" s="291"/>
      <c r="C145" s="364"/>
      <c r="D145" s="364"/>
      <c r="E145" s="291"/>
      <c r="F145" s="384"/>
      <c r="G145" s="291"/>
      <c r="H145" s="364"/>
      <c r="I145" s="291"/>
      <c r="J145" s="264"/>
      <c r="K145" s="291"/>
      <c r="L145" s="364"/>
      <c r="M145" s="291"/>
      <c r="N145" s="364"/>
      <c r="O145" s="291"/>
      <c r="P145" s="364"/>
      <c r="Q145" s="291"/>
      <c r="R145" s="364"/>
      <c r="S145" s="291"/>
      <c r="T145" s="364"/>
      <c r="U145" s="291"/>
      <c r="V145" s="364"/>
      <c r="W145" s="291"/>
      <c r="X145" s="364"/>
      <c r="Y145" s="291"/>
      <c r="Z145" s="364"/>
      <c r="AA145" s="364"/>
      <c r="AB145" s="291"/>
      <c r="AC145" s="264"/>
      <c r="AD145" s="264"/>
      <c r="AE145" s="264"/>
      <c r="AF145" s="264"/>
      <c r="AG145" s="264"/>
      <c r="AH145" s="698"/>
      <c r="AI145" s="422"/>
      <c r="AJ145" s="422"/>
      <c r="AK145" s="328"/>
    </row>
    <row r="146" spans="1:37" ht="15" customHeight="1">
      <c r="A146" s="35"/>
      <c r="B146" s="291" t="s">
        <v>103</v>
      </c>
      <c r="C146" s="364"/>
      <c r="D146" s="364"/>
      <c r="E146" s="291"/>
      <c r="F146" s="384"/>
      <c r="G146" s="291"/>
      <c r="H146" s="364"/>
      <c r="I146" s="291"/>
      <c r="J146" s="264"/>
      <c r="K146" s="291"/>
      <c r="L146" s="364"/>
      <c r="M146" s="291"/>
      <c r="N146" s="364"/>
      <c r="O146" s="291"/>
      <c r="P146" s="364"/>
      <c r="Q146" s="291"/>
      <c r="R146" s="364"/>
      <c r="S146" s="291"/>
      <c r="T146" s="364"/>
      <c r="U146" s="291"/>
      <c r="V146" s="364"/>
      <c r="W146" s="291"/>
      <c r="X146" s="364"/>
      <c r="Y146" s="291"/>
      <c r="Z146" s="364"/>
      <c r="AA146" s="364"/>
      <c r="AB146" s="291"/>
      <c r="AC146" s="2026"/>
      <c r="AD146" s="264"/>
      <c r="AE146" s="264"/>
      <c r="AF146" s="264"/>
      <c r="AG146" s="264"/>
      <c r="AH146" s="698"/>
      <c r="AI146" s="422"/>
      <c r="AJ146" s="422"/>
      <c r="AK146" s="328"/>
    </row>
    <row r="147" spans="1:37" ht="15" customHeight="1">
      <c r="A147" s="35"/>
      <c r="B147" s="291"/>
      <c r="C147" s="364"/>
      <c r="D147" s="364"/>
      <c r="E147" s="291"/>
      <c r="F147" s="384"/>
      <c r="G147" s="291"/>
      <c r="H147" s="364"/>
      <c r="I147" s="291"/>
      <c r="J147" s="264"/>
      <c r="K147" s="291"/>
      <c r="L147" s="364"/>
      <c r="M147" s="291"/>
      <c r="N147" s="364"/>
      <c r="O147" s="291"/>
      <c r="P147" s="364"/>
      <c r="Q147" s="291"/>
      <c r="R147" s="364"/>
      <c r="S147" s="291"/>
      <c r="T147" s="364"/>
      <c r="U147" s="291"/>
      <c r="V147" s="364"/>
      <c r="W147" s="291"/>
      <c r="X147" s="364"/>
      <c r="Y147" s="291"/>
      <c r="Z147" s="364"/>
      <c r="AA147" s="364"/>
      <c r="AB147" s="291"/>
      <c r="AC147" s="1998"/>
      <c r="AD147" s="264"/>
      <c r="AE147" s="264"/>
      <c r="AF147" s="264"/>
      <c r="AG147" s="264"/>
      <c r="AH147" s="698"/>
      <c r="AI147" s="422"/>
      <c r="AJ147" s="422"/>
      <c r="AK147" s="328"/>
    </row>
    <row r="148" spans="1:37">
      <c r="B148" s="63"/>
      <c r="C148" s="63"/>
      <c r="D148" s="63"/>
      <c r="E148" s="63"/>
      <c r="F148" s="63"/>
      <c r="G148" s="63"/>
      <c r="H148" s="63"/>
      <c r="I148" s="63"/>
      <c r="J148" s="422"/>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row>
  </sheetData>
  <customSheetViews>
    <customSheetView guid="{83D69B98-1714-4D17-901F-87B47BE66947}" scale="88" showPageBreaks="1" showGridLines="0" printArea="1" topLeftCell="N16">
      <selection activeCell="Z27" sqref="Z27"/>
      <rowBreaks count="1" manualBreakCount="1">
        <brk id="90" min="1" max="36" man="1"/>
      </rowBreaks>
      <pageMargins left="0.25" right="0.25" top="0.5" bottom="0.25" header="0.3" footer="0.3"/>
      <printOptions horizontalCentered="1"/>
      <pageSetup scale="38" firstPageNumber="20" fitToHeight="2" orientation="landscape" useFirstPageNumber="1" r:id="rId1"/>
      <headerFooter scaleWithDoc="0" alignWithMargins="0">
        <oddFooter>&amp;C&amp;8&amp;P</oddFooter>
      </headerFooter>
    </customSheetView>
    <customSheetView guid="{F9AE1502-86F7-4AAA-AE66-F6A75A634C1B}"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2"/>
      <headerFooter scaleWithDoc="0" alignWithMargins="0">
        <oddFooter>&amp;C&amp;8&amp;P</oddFooter>
      </headerFooter>
    </customSheetView>
    <customSheetView guid="{C41E3923-0A88-49D0-AE43-0E74D386A056}"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3"/>
      <headerFooter scaleWithDoc="0" alignWithMargins="0">
        <oddFooter>&amp;C&amp;8&amp;P</oddFooter>
      </headerFooter>
    </customSheetView>
    <customSheetView guid="{1DF171D7-3BFC-49F6-B708-0F91FCFAB6E2}" scale="85" showPageBreaks="1" showGridLines="0" printArea="1" topLeftCell="D7">
      <selection activeCell="T38" sqref="T38"/>
      <rowBreaks count="1" manualBreakCount="1">
        <brk id="90" min="1" max="36" man="1"/>
      </rowBreaks>
      <pageMargins left="0.25" right="0.25" top="0.5" bottom="0.25" header="0.3" footer="0.3"/>
      <printOptions horizontalCentered="1"/>
      <pageSetup scale="38" firstPageNumber="20" fitToHeight="2" orientation="landscape" useFirstPageNumber="1" r:id="rId4"/>
      <headerFooter scaleWithDoc="0" alignWithMargins="0">
        <oddFooter>&amp;C&amp;8&amp;P</oddFooter>
      </headerFooter>
    </customSheetView>
    <customSheetView guid="{9F00D83C-7F4F-41B5-9976-8610D9EBC976}"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5"/>
      <headerFooter scaleWithDoc="0" alignWithMargins="0">
        <oddFooter>&amp;C&amp;8&amp;P</oddFooter>
      </headerFooter>
    </customSheetView>
    <customSheetView guid="{D1467C25-646C-4F1A-9353-0E890E575522}" scale="90" showPageBreaks="1" showGridLines="0" printArea="1" topLeftCell="A13">
      <selection activeCell="D37" sqref="D37"/>
      <rowBreaks count="1" manualBreakCount="1">
        <brk id="90" min="1" max="36" man="1"/>
      </rowBreaks>
      <pageMargins left="0.25" right="0.25" top="0.5" bottom="0.25" header="0.3" footer="0.3"/>
      <printOptions horizontalCentered="1"/>
      <pageSetup scale="38" firstPageNumber="20" fitToHeight="2" orientation="landscape" useFirstPageNumber="1" r:id="rId6"/>
      <headerFooter scaleWithDoc="0" alignWithMargins="0">
        <oddFooter>&amp;C&amp;8&amp;P</oddFooter>
      </headerFooter>
    </customSheetView>
    <customSheetView guid="{3A50DD26-AAF5-43D4-97DE-BAE3367A2F29}" scale="90" showPageBreaks="1" showGridLines="0" printArea="1" topLeftCell="D82">
      <selection activeCell="O127" sqref="O127"/>
      <rowBreaks count="1" manualBreakCount="1">
        <brk id="90" min="1" max="36" man="1"/>
      </rowBreaks>
      <pageMargins left="0.25" right="0.25" top="0.5" bottom="0.25" header="0.3" footer="0.3"/>
      <printOptions horizontalCentered="1"/>
      <pageSetup scale="38" firstPageNumber="20" fitToHeight="2" orientation="landscape" useFirstPageNumber="1" r:id="rId7"/>
      <headerFooter scaleWithDoc="0" alignWithMargins="0">
        <oddFooter>&amp;C&amp;8&amp;P</oddFooter>
      </headerFooter>
    </customSheetView>
    <customSheetView guid="{C3636880-B45B-4897-94F2-F91976416934}" scale="85" showPageBreaks="1" showGridLines="0" printArea="1" topLeftCell="A108">
      <selection activeCell="AC136" sqref="AC136"/>
      <rowBreaks count="1" manualBreakCount="1">
        <brk id="90" min="1" max="36" man="1"/>
      </rowBreaks>
      <pageMargins left="0.25" right="0.25" top="0.5" bottom="0.25" header="0.3" footer="0.3"/>
      <printOptions horizontalCentered="1"/>
      <pageSetup scale="38" firstPageNumber="20" fitToHeight="2"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3" footer="0.3"/>
  <pageSetup scale="38" firstPageNumber="20" fitToHeight="2" orientation="landscape" useFirstPageNumber="1" r:id="rId9"/>
  <headerFooter scaleWithDoc="0" alignWithMargins="0">
    <oddFooter>&amp;C&amp;8&amp;P</oddFooter>
  </headerFooter>
  <rowBreaks count="1" manualBreakCount="1">
    <brk id="90" min="1" max="36" man="1"/>
  </rowBreaks>
  <customProperties>
    <customPr name="SheetOptions" r:id="rId10"/>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 N23 P23 AK106 AK64 AK44 AK33 AK2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N128"/>
  <sheetViews>
    <sheetView showGridLines="0" zoomScale="80" zoomScaleNormal="80" workbookViewId="0"/>
  </sheetViews>
  <sheetFormatPr defaultColWidth="8.88671875" defaultRowHeight="15"/>
  <cols>
    <col min="1" max="1" width="1.88671875" style="4" customWidth="1"/>
    <col min="2" max="2" width="45.44140625" style="4" customWidth="1"/>
    <col min="3" max="3" width="1.88671875" style="4" customWidth="1"/>
    <col min="4" max="4" width="12.44140625" style="4" bestFit="1" customWidth="1"/>
    <col min="5" max="5" width="1.88671875" customWidth="1"/>
    <col min="6" max="6" width="12.109375" style="4" bestFit="1" customWidth="1"/>
    <col min="7" max="7" width="1.88671875" customWidth="1"/>
    <col min="8" max="8" width="13.44140625" style="4" customWidth="1"/>
    <col min="9" max="9" width="1.88671875" customWidth="1"/>
    <col min="10" max="10" width="16.109375" style="4" customWidth="1"/>
    <col min="11" max="11" width="1.88671875" customWidth="1"/>
    <col min="12" max="12" width="13.44140625" style="4" customWidth="1"/>
    <col min="13" max="13" width="1.88671875" customWidth="1"/>
    <col min="14" max="14" width="14.109375" style="4" customWidth="1"/>
    <col min="15" max="15" width="1.88671875" customWidth="1"/>
    <col min="16" max="16" width="14.109375" style="4" customWidth="1"/>
    <col min="17" max="17" width="1.88671875" customWidth="1"/>
    <col min="18" max="18" width="14.109375" style="4" customWidth="1"/>
    <col min="19" max="19" width="1.88671875" customWidth="1"/>
    <col min="20" max="20" width="14.109375" style="4" customWidth="1"/>
    <col min="21" max="21" width="1.88671875" customWidth="1"/>
    <col min="22" max="22" width="14.109375" style="4" customWidth="1"/>
    <col min="23" max="23" width="1.88671875" customWidth="1"/>
    <col min="24" max="24" width="14.109375" style="4" customWidth="1"/>
    <col min="25" max="25" width="1.88671875" customWidth="1"/>
    <col min="26" max="26" width="14.109375" style="4" customWidth="1"/>
    <col min="27" max="27" width="1.88671875" style="4" customWidth="1"/>
    <col min="28" max="28" width="14.109375" style="4" customWidth="1"/>
    <col min="29" max="30" width="0.886718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88671875" style="4" customWidth="1"/>
    <col min="38" max="38" width="0.88671875" style="4" customWidth="1"/>
    <col min="39" max="39" width="13.44140625" style="364" customWidth="1"/>
    <col min="40" max="16384" width="8.88671875" style="4"/>
  </cols>
  <sheetData>
    <row r="1" spans="1:40">
      <c r="A1" s="364"/>
      <c r="B1" s="284" t="s">
        <v>97</v>
      </c>
      <c r="C1" s="364"/>
      <c r="D1" s="364"/>
      <c r="F1" s="364"/>
      <c r="H1" s="364"/>
      <c r="J1" s="364"/>
      <c r="L1" s="364"/>
      <c r="N1" s="364"/>
      <c r="P1" s="364"/>
      <c r="R1" s="364"/>
      <c r="T1" s="364"/>
      <c r="V1" s="364"/>
      <c r="X1" s="364"/>
      <c r="Z1" s="364"/>
      <c r="AA1" s="364"/>
      <c r="AB1" s="364"/>
      <c r="AC1" s="364"/>
      <c r="AD1" s="364"/>
      <c r="AE1" s="364"/>
      <c r="AF1" s="364"/>
      <c r="AG1" s="364"/>
      <c r="AH1" s="364"/>
      <c r="AI1" s="364"/>
      <c r="AJ1" s="364"/>
      <c r="AK1" s="364"/>
      <c r="AL1" s="364"/>
      <c r="AN1" s="364"/>
    </row>
    <row r="2" spans="1:40" ht="15.75">
      <c r="A2" s="364"/>
      <c r="B2" s="364"/>
      <c r="C2" s="364"/>
      <c r="D2" s="364"/>
      <c r="F2" s="364"/>
      <c r="H2" s="364"/>
      <c r="J2" s="364"/>
      <c r="L2" s="364"/>
      <c r="N2" s="3"/>
      <c r="P2" s="364"/>
      <c r="R2" s="364"/>
      <c r="T2" s="364"/>
      <c r="V2" s="364"/>
      <c r="X2" s="364"/>
      <c r="Z2" s="364"/>
      <c r="AA2" s="364"/>
      <c r="AB2" s="364"/>
      <c r="AC2" s="364"/>
      <c r="AD2" s="364"/>
      <c r="AE2" s="364"/>
      <c r="AF2" s="364"/>
      <c r="AG2" s="364"/>
      <c r="AH2" s="364"/>
      <c r="AI2" s="364"/>
      <c r="AJ2" s="364"/>
      <c r="AK2" s="364"/>
      <c r="AL2" s="364"/>
      <c r="AN2" s="364"/>
    </row>
    <row r="3" spans="1:40" ht="18">
      <c r="A3" s="364"/>
      <c r="B3" s="65" t="s">
        <v>98</v>
      </c>
      <c r="C3" s="364"/>
      <c r="D3" s="364"/>
      <c r="F3" s="364"/>
      <c r="H3" s="364"/>
      <c r="J3" s="364"/>
      <c r="L3" s="364"/>
      <c r="N3" s="3"/>
      <c r="P3" s="364"/>
      <c r="R3" s="364"/>
      <c r="T3" s="364"/>
      <c r="V3" s="364"/>
      <c r="X3" s="364"/>
      <c r="Z3" s="364"/>
      <c r="AA3" s="364"/>
      <c r="AB3" s="364"/>
      <c r="AC3" s="364"/>
      <c r="AD3" s="364"/>
      <c r="AE3" s="364"/>
      <c r="AF3" s="291"/>
      <c r="AG3" s="291"/>
      <c r="AH3" s="291"/>
      <c r="AI3" s="291"/>
      <c r="AJ3" s="291"/>
      <c r="AK3" s="291"/>
      <c r="AL3" s="291"/>
      <c r="AM3" s="106" t="s">
        <v>472</v>
      </c>
      <c r="AN3" s="364"/>
    </row>
    <row r="4" spans="1:40" ht="18">
      <c r="A4" s="364"/>
      <c r="B4" s="65" t="s">
        <v>473</v>
      </c>
      <c r="C4" s="364"/>
      <c r="D4" s="364"/>
      <c r="F4" s="364"/>
      <c r="H4" s="364"/>
      <c r="J4" s="364"/>
      <c r="L4" s="3"/>
      <c r="N4" s="364"/>
      <c r="P4" s="364"/>
      <c r="R4" s="364"/>
      <c r="T4" s="364"/>
      <c r="V4" s="364"/>
      <c r="X4" s="364"/>
      <c r="Z4" s="364"/>
      <c r="AA4" s="364"/>
      <c r="AB4" s="364"/>
      <c r="AC4" s="364"/>
      <c r="AD4" s="364"/>
      <c r="AE4" s="364"/>
      <c r="AF4" s="364"/>
      <c r="AG4" s="364"/>
      <c r="AH4" s="364"/>
      <c r="AI4" s="364"/>
      <c r="AJ4" s="364"/>
      <c r="AK4" s="364"/>
      <c r="AL4" s="364"/>
      <c r="AN4" s="364"/>
    </row>
    <row r="5" spans="1:40" ht="18">
      <c r="A5" s="364"/>
      <c r="B5" s="540" t="s">
        <v>444</v>
      </c>
      <c r="C5" s="364"/>
      <c r="D5" s="364"/>
      <c r="F5" s="364"/>
      <c r="H5" s="364"/>
      <c r="J5" s="364"/>
      <c r="L5" s="291"/>
      <c r="N5" s="364"/>
      <c r="P5" s="364"/>
      <c r="R5" s="364"/>
      <c r="T5" s="364"/>
      <c r="V5" s="364"/>
      <c r="X5" s="405"/>
      <c r="Z5" s="364"/>
      <c r="AA5" s="364"/>
      <c r="AB5" s="364"/>
      <c r="AC5" s="364"/>
      <c r="AD5" s="364"/>
      <c r="AE5" s="364"/>
      <c r="AF5" s="364"/>
      <c r="AG5" s="364"/>
      <c r="AH5" s="364"/>
      <c r="AI5" s="364"/>
      <c r="AJ5" s="364"/>
      <c r="AK5" s="364"/>
      <c r="AL5" s="364"/>
      <c r="AN5" s="364"/>
    </row>
    <row r="6" spans="1:40" ht="20.25">
      <c r="A6" s="364"/>
      <c r="B6" s="540" t="str">
        <f>'Cashflow Governmental'!A6</f>
        <v>FISCAL YEAR 2026-2027</v>
      </c>
      <c r="C6" s="364"/>
      <c r="D6" s="364"/>
      <c r="F6" s="364"/>
      <c r="H6" s="364"/>
      <c r="J6" s="364"/>
      <c r="L6" s="291"/>
      <c r="N6" s="364"/>
      <c r="P6" s="364"/>
      <c r="R6" s="364"/>
      <c r="T6" s="364" t="s">
        <v>103</v>
      </c>
      <c r="V6" s="364"/>
      <c r="X6" s="364"/>
      <c r="Z6" s="364"/>
      <c r="AA6" s="364"/>
      <c r="AB6" s="364"/>
      <c r="AC6" s="364"/>
      <c r="AD6" s="364"/>
      <c r="AE6" s="364"/>
      <c r="AF6" s="364"/>
      <c r="AG6" s="364"/>
      <c r="AH6" s="364"/>
      <c r="AI6" s="364"/>
      <c r="AJ6" s="364"/>
      <c r="AK6" s="364"/>
      <c r="AL6" s="364"/>
      <c r="AM6" s="851"/>
      <c r="AN6" s="364"/>
    </row>
    <row r="7" spans="1:40" ht="18">
      <c r="A7" s="364"/>
      <c r="B7" s="65" t="s">
        <v>474</v>
      </c>
      <c r="C7" s="364"/>
      <c r="D7" s="364"/>
      <c r="F7" s="364"/>
      <c r="H7" s="364"/>
      <c r="J7" s="364"/>
      <c r="L7" s="364"/>
      <c r="N7" s="364"/>
      <c r="P7" s="364"/>
      <c r="R7" s="364"/>
      <c r="T7" s="364"/>
      <c r="V7" s="364"/>
      <c r="X7" s="364"/>
      <c r="Z7" s="364"/>
      <c r="AA7" s="364"/>
      <c r="AB7" s="364"/>
      <c r="AC7" s="364"/>
      <c r="AD7" s="364"/>
      <c r="AE7" s="364"/>
      <c r="AF7" s="364"/>
      <c r="AG7" s="364"/>
      <c r="AH7" s="364"/>
      <c r="AI7" s="364"/>
      <c r="AJ7" s="291"/>
      <c r="AK7" s="291"/>
      <c r="AL7" s="291"/>
      <c r="AM7" s="291"/>
      <c r="AN7" s="364"/>
    </row>
    <row r="8" spans="1:40">
      <c r="A8" s="364"/>
      <c r="B8" s="364"/>
      <c r="C8" s="364"/>
      <c r="D8" s="364"/>
      <c r="F8" s="364"/>
      <c r="H8" s="364"/>
      <c r="J8" s="364"/>
      <c r="L8" s="291"/>
      <c r="N8" s="291"/>
      <c r="P8" s="364"/>
      <c r="R8" s="364"/>
      <c r="T8" s="364"/>
      <c r="V8" s="364"/>
      <c r="X8" s="364"/>
      <c r="Z8" s="364"/>
      <c r="AA8" s="364"/>
      <c r="AB8" s="364"/>
      <c r="AC8" s="364"/>
      <c r="AD8" s="291"/>
      <c r="AE8" s="291"/>
      <c r="AF8" s="291"/>
      <c r="AG8" s="291"/>
      <c r="AH8" s="291"/>
      <c r="AI8" s="291"/>
      <c r="AJ8" s="291"/>
      <c r="AK8" s="291"/>
      <c r="AL8" s="291"/>
      <c r="AM8" s="291"/>
      <c r="AN8" s="364"/>
    </row>
    <row r="9" spans="1:40" s="63" customFormat="1" ht="19.5" customHeight="1">
      <c r="D9" s="63" t="s">
        <v>103</v>
      </c>
      <c r="E9" s="266" t="s">
        <v>103</v>
      </c>
      <c r="G9"/>
      <c r="I9"/>
      <c r="K9"/>
      <c r="L9" s="71"/>
      <c r="M9"/>
      <c r="N9" s="71"/>
      <c r="O9"/>
      <c r="Q9"/>
      <c r="S9"/>
      <c r="U9"/>
      <c r="W9"/>
      <c r="Y9"/>
      <c r="AB9" s="52" t="s">
        <v>475</v>
      </c>
      <c r="AC9" s="52"/>
      <c r="AD9" s="2065" t="str">
        <f>'Cashflow Governmental'!$AB$12</f>
        <v>3 Months Ended June 30</v>
      </c>
      <c r="AE9" s="2065"/>
      <c r="AF9" s="2065"/>
      <c r="AG9" s="2065"/>
      <c r="AH9" s="2065"/>
      <c r="AI9" s="2065"/>
      <c r="AJ9" s="2065"/>
      <c r="AK9" s="2065"/>
      <c r="AL9" s="2065"/>
      <c r="AM9" s="2065"/>
    </row>
    <row r="10" spans="1:40" ht="15.75">
      <c r="A10" s="364"/>
      <c r="B10" s="364"/>
      <c r="C10" s="364"/>
      <c r="D10" s="314" t="str">
        <f>'Cashflow Governmental'!C13</f>
        <v>2026</v>
      </c>
      <c r="F10" s="3"/>
      <c r="H10" s="3"/>
      <c r="J10" s="3"/>
      <c r="L10" s="3"/>
      <c r="N10" s="3"/>
      <c r="P10" s="3"/>
      <c r="R10" s="3"/>
      <c r="T10" s="3"/>
      <c r="V10" s="314">
        <f>'Cashflow Governmental'!U13</f>
        <v>2027</v>
      </c>
      <c r="X10" s="3"/>
      <c r="Z10" s="3"/>
      <c r="AA10" s="3"/>
      <c r="AB10" s="52" t="s">
        <v>476</v>
      </c>
      <c r="AC10" s="52"/>
      <c r="AD10" s="3"/>
      <c r="AE10" s="57"/>
      <c r="AF10" s="57"/>
      <c r="AG10" s="57"/>
      <c r="AH10" s="57"/>
      <c r="AI10" s="57"/>
      <c r="AJ10" s="57"/>
      <c r="AK10" s="319" t="s">
        <v>110</v>
      </c>
      <c r="AL10" s="57"/>
      <c r="AM10" s="320" t="s">
        <v>111</v>
      </c>
      <c r="AN10" s="57"/>
    </row>
    <row r="11" spans="1:40" ht="15.75">
      <c r="A11" s="364"/>
      <c r="B11" s="364"/>
      <c r="C11" s="364"/>
      <c r="D11" s="52" t="s">
        <v>329</v>
      </c>
      <c r="F11" s="52" t="s">
        <v>330</v>
      </c>
      <c r="H11" s="52" t="s">
        <v>331</v>
      </c>
      <c r="J11" s="52" t="s">
        <v>332</v>
      </c>
      <c r="L11" s="1217" t="s">
        <v>333</v>
      </c>
      <c r="N11" s="52" t="s">
        <v>445</v>
      </c>
      <c r="P11" s="52" t="s">
        <v>446</v>
      </c>
      <c r="R11" s="52" t="s">
        <v>336</v>
      </c>
      <c r="T11" s="52" t="s">
        <v>337</v>
      </c>
      <c r="V11" s="52" t="s">
        <v>338</v>
      </c>
      <c r="X11" s="52" t="s">
        <v>339</v>
      </c>
      <c r="Z11" s="52" t="s">
        <v>447</v>
      </c>
      <c r="AA11" s="52"/>
      <c r="AB11" s="1217" t="s">
        <v>477</v>
      </c>
      <c r="AC11" s="52"/>
      <c r="AD11" s="3"/>
      <c r="AE11" s="314" t="str">
        <f>'Cashflow Governmental'!AB14</f>
        <v>2026</v>
      </c>
      <c r="AF11" s="3" t="s">
        <v>103</v>
      </c>
      <c r="AG11" s="57"/>
      <c r="AH11" s="314" t="str">
        <f>'Cashflow Governmental'!AE14</f>
        <v>2025</v>
      </c>
      <c r="AI11" s="314"/>
      <c r="AJ11" s="57"/>
      <c r="AK11" s="1219" t="s">
        <v>112</v>
      </c>
      <c r="AL11" s="57"/>
      <c r="AM11" s="1219" t="s">
        <v>113</v>
      </c>
      <c r="AN11" s="57"/>
    </row>
    <row r="12" spans="1:40" ht="5.25" customHeight="1">
      <c r="A12" s="364"/>
      <c r="B12" s="364"/>
      <c r="C12" s="364"/>
      <c r="D12" s="988"/>
      <c r="F12" s="988"/>
      <c r="H12" s="988"/>
      <c r="J12" s="988"/>
      <c r="L12" s="988"/>
      <c r="N12" s="988"/>
      <c r="P12" s="988"/>
      <c r="R12" s="988"/>
      <c r="T12" s="988"/>
      <c r="V12" s="988"/>
      <c r="X12" s="988"/>
      <c r="Z12" s="988"/>
      <c r="AA12" s="364"/>
      <c r="AB12" s="364"/>
      <c r="AC12" s="364"/>
      <c r="AD12" s="364"/>
      <c r="AE12" s="988"/>
      <c r="AF12" s="364"/>
      <c r="AG12" s="364"/>
      <c r="AH12" s="988"/>
      <c r="AI12" s="364"/>
      <c r="AJ12" s="364"/>
      <c r="AK12" s="364"/>
      <c r="AL12" s="364"/>
      <c r="AN12" s="364"/>
    </row>
    <row r="13" spans="1:40" ht="15" customHeight="1">
      <c r="A13" s="291"/>
      <c r="B13" s="1216" t="s">
        <v>478</v>
      </c>
      <c r="C13" s="291"/>
      <c r="D13" s="20">
        <f>'Exhibit G State'!D13+'Exhibit G Federal'!D13</f>
        <v>21208.6</v>
      </c>
      <c r="F13" s="20">
        <f>D123</f>
        <v>23634.9</v>
      </c>
      <c r="G13" s="20"/>
      <c r="H13" s="20">
        <f>F123</f>
        <v>24449.5</v>
      </c>
      <c r="J13" s="20"/>
      <c r="L13" s="20"/>
      <c r="N13" s="20"/>
      <c r="P13" s="20"/>
      <c r="R13" s="20"/>
      <c r="S13" s="20"/>
      <c r="T13" s="20"/>
      <c r="U13" s="20"/>
      <c r="V13" s="20"/>
      <c r="W13" s="20"/>
      <c r="X13" s="20"/>
      <c r="Y13" s="20"/>
      <c r="Z13" s="20"/>
      <c r="AA13" s="20"/>
      <c r="AB13" s="20">
        <v>0</v>
      </c>
      <c r="AC13" s="20"/>
      <c r="AD13" s="21"/>
      <c r="AE13" s="20">
        <f>D13</f>
        <v>21208.6</v>
      </c>
      <c r="AF13" s="20"/>
      <c r="AG13" s="21"/>
      <c r="AH13" s="82">
        <f>'Exhibit G State'!AF13+'Exhibit G Federal'!AF13</f>
        <v>18119.2</v>
      </c>
      <c r="AI13" s="73"/>
      <c r="AJ13" s="20"/>
      <c r="AK13" s="44">
        <f>AE13-AH13</f>
        <v>3089.3999999999978</v>
      </c>
      <c r="AL13" s="714"/>
      <c r="AM13" s="74">
        <f>(AE13-AH13)/AH13</f>
        <v>0.17050421652170061</v>
      </c>
      <c r="AN13" s="405"/>
    </row>
    <row r="14" spans="1:40" ht="15" customHeight="1">
      <c r="A14" s="291"/>
      <c r="B14" s="291"/>
      <c r="C14" s="291"/>
      <c r="D14" s="364"/>
      <c r="F14" s="364"/>
      <c r="G14" s="364"/>
      <c r="H14" s="364"/>
      <c r="J14" s="364"/>
      <c r="L14" s="364"/>
      <c r="N14" s="364"/>
      <c r="P14" s="364"/>
      <c r="R14" s="364"/>
      <c r="T14" s="364"/>
      <c r="V14" s="364"/>
      <c r="X14" s="364"/>
      <c r="Z14" s="364"/>
      <c r="AA14" s="364"/>
      <c r="AB14" s="364"/>
      <c r="AC14" s="364"/>
      <c r="AD14" s="1032"/>
      <c r="AE14" s="364"/>
      <c r="AF14" s="364"/>
      <c r="AG14" s="1032"/>
      <c r="AH14" s="364"/>
      <c r="AI14" s="1033"/>
      <c r="AJ14" s="364"/>
      <c r="AK14" s="364"/>
      <c r="AL14" s="364"/>
      <c r="AM14" s="283"/>
      <c r="AN14" s="405"/>
    </row>
    <row r="15" spans="1:40" ht="15" customHeight="1">
      <c r="A15" s="291"/>
      <c r="B15" s="3" t="s">
        <v>114</v>
      </c>
      <c r="C15" s="291"/>
      <c r="D15" s="264"/>
      <c r="F15" s="264"/>
      <c r="G15" s="264"/>
      <c r="H15" s="264"/>
      <c r="J15" s="264"/>
      <c r="L15" s="264"/>
      <c r="N15" s="264"/>
      <c r="P15" s="264"/>
      <c r="R15" s="264"/>
      <c r="T15" s="264"/>
      <c r="V15" s="264"/>
      <c r="X15" s="264"/>
      <c r="Z15" s="264"/>
      <c r="AA15" s="264"/>
      <c r="AB15" s="264"/>
      <c r="AC15" s="264"/>
      <c r="AD15" s="523"/>
      <c r="AE15" s="264"/>
      <c r="AF15" s="264"/>
      <c r="AG15" s="523"/>
      <c r="AH15" s="264"/>
      <c r="AI15" s="519"/>
      <c r="AJ15" s="264"/>
      <c r="AK15" s="264"/>
      <c r="AL15" s="364"/>
      <c r="AM15" s="283"/>
      <c r="AN15" s="405"/>
    </row>
    <row r="16" spans="1:40" ht="15" customHeight="1">
      <c r="A16" s="291"/>
      <c r="B16" s="1216" t="s">
        <v>342</v>
      </c>
      <c r="C16" s="291"/>
      <c r="D16" s="264"/>
      <c r="F16" s="264"/>
      <c r="G16" s="264"/>
      <c r="H16" s="264"/>
      <c r="J16" s="264"/>
      <c r="L16" s="264"/>
      <c r="N16" s="264"/>
      <c r="P16" s="264"/>
      <c r="R16" s="264"/>
      <c r="T16" s="264"/>
      <c r="V16" s="264"/>
      <c r="X16" s="264"/>
      <c r="Z16" s="264"/>
      <c r="AA16" s="264"/>
      <c r="AB16" s="264"/>
      <c r="AC16" s="264"/>
      <c r="AD16" s="523"/>
      <c r="AE16" s="264"/>
      <c r="AF16" s="264"/>
      <c r="AG16" s="523"/>
      <c r="AH16" s="264"/>
      <c r="AI16" s="519"/>
      <c r="AJ16" s="264"/>
      <c r="AK16" s="264"/>
      <c r="AL16" s="364"/>
      <c r="AM16" s="283"/>
      <c r="AN16" s="405"/>
    </row>
    <row r="17" spans="1:40" s="57" customFormat="1" ht="15" customHeight="1">
      <c r="A17" s="3"/>
      <c r="B17" s="412" t="s">
        <v>479</v>
      </c>
      <c r="C17" s="3"/>
      <c r="D17" s="264">
        <f>'Exhibit G State'!D17</f>
        <v>0</v>
      </c>
      <c r="E17" s="264"/>
      <c r="F17" s="264">
        <f>'Exhibit G State'!F17</f>
        <v>0</v>
      </c>
      <c r="G17" s="264"/>
      <c r="H17" s="264">
        <f>'Exhibit G State'!H17</f>
        <v>0</v>
      </c>
      <c r="I17"/>
      <c r="J17" s="264"/>
      <c r="K17"/>
      <c r="L17" s="264"/>
      <c r="M17"/>
      <c r="N17" s="264"/>
      <c r="O17"/>
      <c r="P17" s="264"/>
      <c r="Q17"/>
      <c r="R17" s="264"/>
      <c r="S17" s="264"/>
      <c r="T17" s="264"/>
      <c r="U17" s="264"/>
      <c r="V17" s="264"/>
      <c r="W17" s="264"/>
      <c r="X17" s="264"/>
      <c r="Y17" s="264"/>
      <c r="Z17" s="264"/>
      <c r="AA17" s="264"/>
      <c r="AB17" s="264">
        <v>0</v>
      </c>
      <c r="AC17" s="264"/>
      <c r="AD17" s="21"/>
      <c r="AE17" s="264">
        <f>ROUND(SUM(D17:Z17),1)</f>
        <v>0</v>
      </c>
      <c r="AF17" s="264"/>
      <c r="AG17" s="523"/>
      <c r="AH17" s="287">
        <f>'Exhibit G State'!AF17</f>
        <v>0</v>
      </c>
      <c r="AI17" s="519"/>
      <c r="AJ17" s="264"/>
      <c r="AK17" s="264">
        <f>ROUND(SUM(+AE17-AH17),1)</f>
        <v>0</v>
      </c>
      <c r="AL17" s="11"/>
      <c r="AM17" s="266">
        <f>ROUND(IF(AH17=0,0,AK17/ABS(AH17)),3)</f>
        <v>0</v>
      </c>
      <c r="AN17" s="405"/>
    </row>
    <row r="18" spans="1:40" s="57" customFormat="1" ht="6" customHeight="1">
      <c r="A18" s="3"/>
      <c r="B18" s="412"/>
      <c r="C18" s="3"/>
      <c r="D18" s="715"/>
      <c r="E18" s="715"/>
      <c r="F18" s="715"/>
      <c r="G18" s="715"/>
      <c r="H18" s="715"/>
      <c r="I18"/>
      <c r="J18" s="264"/>
      <c r="K18"/>
      <c r="L18" s="715"/>
      <c r="M18"/>
      <c r="N18" s="715"/>
      <c r="O18"/>
      <c r="P18" s="715"/>
      <c r="Q18"/>
      <c r="R18" s="715"/>
      <c r="S18" s="715"/>
      <c r="T18" s="715"/>
      <c r="U18" s="715"/>
      <c r="V18" s="264"/>
      <c r="W18"/>
      <c r="X18" s="264"/>
      <c r="Y18" s="715"/>
      <c r="Z18" s="715"/>
      <c r="AA18" s="715"/>
      <c r="AB18" s="20"/>
      <c r="AC18" s="20"/>
      <c r="AD18" s="21"/>
      <c r="AE18" s="274"/>
      <c r="AF18" s="274"/>
      <c r="AG18" s="431"/>
      <c r="AH18" s="276"/>
      <c r="AI18" s="887"/>
      <c r="AJ18" s="274"/>
      <c r="AK18" s="274"/>
      <c r="AL18" s="11"/>
      <c r="AM18" s="266"/>
      <c r="AN18" s="405"/>
    </row>
    <row r="19" spans="1:40" ht="15" customHeight="1">
      <c r="A19" s="291"/>
      <c r="B19" s="412" t="s">
        <v>354</v>
      </c>
      <c r="C19" s="291"/>
      <c r="D19" s="264"/>
      <c r="E19" s="264"/>
      <c r="F19" s="264"/>
      <c r="G19" s="264"/>
      <c r="H19" s="264"/>
      <c r="J19" s="264"/>
      <c r="L19" s="264"/>
      <c r="N19" s="264"/>
      <c r="P19" s="264"/>
      <c r="R19" s="264"/>
      <c r="S19" s="264"/>
      <c r="T19" s="264"/>
      <c r="U19" s="264"/>
      <c r="V19" s="264"/>
      <c r="X19" s="264"/>
      <c r="Y19" s="264"/>
      <c r="Z19" s="264"/>
      <c r="AA19" s="264"/>
      <c r="AB19" s="264"/>
      <c r="AC19" s="264"/>
      <c r="AD19" s="523"/>
      <c r="AE19" s="13"/>
      <c r="AF19" s="13"/>
      <c r="AG19" s="14"/>
      <c r="AH19" s="13"/>
      <c r="AI19" s="75"/>
      <c r="AJ19" s="13"/>
      <c r="AK19" s="13"/>
      <c r="AL19" s="57"/>
      <c r="AM19" s="74"/>
      <c r="AN19" s="405"/>
    </row>
    <row r="20" spans="1:40" ht="15" customHeight="1">
      <c r="A20" s="291"/>
      <c r="B20" s="421" t="s">
        <v>355</v>
      </c>
      <c r="C20" s="291"/>
      <c r="D20" s="264">
        <f>'Exhibit G State'!D20</f>
        <v>154.80000000000001</v>
      </c>
      <c r="E20" s="264"/>
      <c r="F20" s="264">
        <f>'Exhibit G State'!F20</f>
        <v>111.1</v>
      </c>
      <c r="G20" s="264"/>
      <c r="H20" s="264">
        <f>'Exhibit G State'!H20</f>
        <v>142.69999999999999</v>
      </c>
      <c r="J20" s="264"/>
      <c r="L20" s="264"/>
      <c r="N20" s="264"/>
      <c r="P20" s="264"/>
      <c r="R20" s="264"/>
      <c r="S20" s="264"/>
      <c r="T20" s="264"/>
      <c r="U20" s="264"/>
      <c r="V20" s="264"/>
      <c r="W20" s="264"/>
      <c r="X20" s="264"/>
      <c r="Y20" s="264"/>
      <c r="Z20" s="264"/>
      <c r="AA20" s="264"/>
      <c r="AB20" s="264">
        <v>0</v>
      </c>
      <c r="AC20" s="264"/>
      <c r="AD20" s="523"/>
      <c r="AE20" s="264">
        <f>ROUND(SUM(D20:Z20),1)</f>
        <v>408.6</v>
      </c>
      <c r="AF20" s="264"/>
      <c r="AG20" s="523"/>
      <c r="AH20" s="287">
        <f>'Exhibit G State'!AF20</f>
        <v>382.1</v>
      </c>
      <c r="AI20" s="519"/>
      <c r="AJ20" s="264"/>
      <c r="AK20" s="264">
        <f t="shared" ref="AK20:AK27" si="0">ROUND(SUM(+AE20-AH20),1)</f>
        <v>26.5</v>
      </c>
      <c r="AL20" s="11"/>
      <c r="AM20" s="266">
        <f t="shared" ref="AM20:AM26" si="1">ROUND(IF(AH20=0,0,AK20/ABS(AH20)),3)</f>
        <v>6.9000000000000006E-2</v>
      </c>
      <c r="AN20" s="405"/>
    </row>
    <row r="21" spans="1:40" ht="15" customHeight="1">
      <c r="A21" s="291"/>
      <c r="B21" s="421" t="s">
        <v>356</v>
      </c>
      <c r="C21" s="291"/>
      <c r="D21" s="264">
        <f>'Exhibit G State'!D21</f>
        <v>1.7</v>
      </c>
      <c r="E21" s="264"/>
      <c r="F21" s="264">
        <f>'Exhibit G State'!F21</f>
        <v>0</v>
      </c>
      <c r="G21" s="264"/>
      <c r="H21" s="264">
        <f>'Exhibit G State'!H21</f>
        <v>9</v>
      </c>
      <c r="J21" s="264"/>
      <c r="L21" s="264"/>
      <c r="N21" s="264"/>
      <c r="P21" s="264"/>
      <c r="R21" s="264"/>
      <c r="S21" s="264"/>
      <c r="T21" s="264"/>
      <c r="U21" s="264"/>
      <c r="V21" s="264"/>
      <c r="W21" s="264"/>
      <c r="X21" s="264"/>
      <c r="Y21" s="264"/>
      <c r="Z21" s="264"/>
      <c r="AA21" s="264"/>
      <c r="AB21" s="264">
        <v>0</v>
      </c>
      <c r="AC21" s="264"/>
      <c r="AD21" s="523"/>
      <c r="AE21" s="264">
        <f>ROUND(SUM(D21:Z21),1)</f>
        <v>10.7</v>
      </c>
      <c r="AF21" s="264"/>
      <c r="AG21" s="523"/>
      <c r="AH21" s="287">
        <f>'Exhibit G State'!AF21</f>
        <v>14</v>
      </c>
      <c r="AI21" s="519"/>
      <c r="AJ21" s="264"/>
      <c r="AK21" s="264">
        <f t="shared" si="0"/>
        <v>-3.3</v>
      </c>
      <c r="AL21" s="11"/>
      <c r="AM21" s="542">
        <f>ROUND(IF(AH21=0,1,AK21/ABS(AH21)),3)</f>
        <v>-0.23599999999999999</v>
      </c>
      <c r="AN21" s="405"/>
    </row>
    <row r="22" spans="1:40" ht="15" customHeight="1">
      <c r="A22" s="291"/>
      <c r="B22" s="421" t="s">
        <v>357</v>
      </c>
      <c r="C22" s="291"/>
      <c r="D22" s="264">
        <f>'Exhibit G State'!D22</f>
        <v>52.9</v>
      </c>
      <c r="E22" s="264"/>
      <c r="F22" s="264">
        <f>'Exhibit G State'!F22</f>
        <v>39.699999999999996</v>
      </c>
      <c r="G22" s="264"/>
      <c r="H22" s="264">
        <f>'Exhibit G State'!H22</f>
        <v>48.400000000000013</v>
      </c>
      <c r="J22" s="264"/>
      <c r="L22" s="264"/>
      <c r="N22" s="264"/>
      <c r="P22" s="264"/>
      <c r="R22" s="264"/>
      <c r="S22" s="264"/>
      <c r="T22" s="264"/>
      <c r="U22" s="264"/>
      <c r="V22" s="264"/>
      <c r="W22" s="264"/>
      <c r="X22" s="264"/>
      <c r="Y22" s="264"/>
      <c r="Z22" s="264"/>
      <c r="AA22" s="264"/>
      <c r="AB22" s="264">
        <v>0</v>
      </c>
      <c r="AC22" s="264"/>
      <c r="AD22" s="523"/>
      <c r="AE22" s="264">
        <f>ROUND(SUM(D22:Z22),1)</f>
        <v>141</v>
      </c>
      <c r="AF22" s="264"/>
      <c r="AG22" s="523"/>
      <c r="AH22" s="287">
        <f>'Exhibit G State'!AF22</f>
        <v>142.6</v>
      </c>
      <c r="AI22" s="519"/>
      <c r="AJ22" s="264"/>
      <c r="AK22" s="264">
        <f t="shared" si="0"/>
        <v>-1.6</v>
      </c>
      <c r="AL22" s="11"/>
      <c r="AM22" s="266">
        <f t="shared" si="1"/>
        <v>-1.0999999999999999E-2</v>
      </c>
      <c r="AN22" s="405"/>
    </row>
    <row r="23" spans="1:40" ht="15" customHeight="1">
      <c r="A23" s="291"/>
      <c r="B23" s="284" t="s">
        <v>436</v>
      </c>
      <c r="C23" s="291"/>
      <c r="D23" s="264">
        <f>'Exhibit G State'!D23</f>
        <v>4.4000000000000004</v>
      </c>
      <c r="E23" s="264"/>
      <c r="F23" s="264">
        <f>'Exhibit G State'!F23</f>
        <v>1.5999999999999996</v>
      </c>
      <c r="G23" s="264"/>
      <c r="H23" s="264">
        <f>'Exhibit G State'!H23</f>
        <v>53.1</v>
      </c>
      <c r="J23" s="264"/>
      <c r="L23" s="264"/>
      <c r="N23" s="264"/>
      <c r="P23" s="264"/>
      <c r="R23" s="264"/>
      <c r="S23" s="264"/>
      <c r="T23" s="264"/>
      <c r="U23" s="264"/>
      <c r="V23" s="264"/>
      <c r="W23" s="264"/>
      <c r="X23" s="264"/>
      <c r="Y23" s="264"/>
      <c r="Z23" s="264"/>
      <c r="AA23" s="264"/>
      <c r="AB23" s="264">
        <v>0</v>
      </c>
      <c r="AC23" s="264"/>
      <c r="AD23" s="523"/>
      <c r="AE23" s="264">
        <f t="shared" ref="AE23:AE27" si="2">ROUND(SUM(D23:Z23),1)</f>
        <v>59.1</v>
      </c>
      <c r="AF23" s="264"/>
      <c r="AG23" s="523"/>
      <c r="AH23" s="287">
        <f>'Exhibit G State'!AF23</f>
        <v>36.299999999999997</v>
      </c>
      <c r="AI23" s="519"/>
      <c r="AJ23" s="264"/>
      <c r="AK23" s="264">
        <f>ROUND(SUM(+AE23-AH23),1)</f>
        <v>22.8</v>
      </c>
      <c r="AL23" s="11"/>
      <c r="AM23" s="266">
        <f>ROUND(IF(AH23=0,1,AK23/ABS(AH23)),3)</f>
        <v>0.628</v>
      </c>
      <c r="AN23" s="405"/>
    </row>
    <row r="24" spans="1:40" ht="15" customHeight="1">
      <c r="A24" s="291"/>
      <c r="B24" s="421" t="s">
        <v>359</v>
      </c>
      <c r="C24" s="291"/>
      <c r="D24" s="264">
        <f>'Exhibit G State'!D24</f>
        <v>7.8</v>
      </c>
      <c r="E24" s="264"/>
      <c r="F24" s="264">
        <f>'Exhibit G State'!F24</f>
        <v>8.6999999999999993</v>
      </c>
      <c r="G24" s="264"/>
      <c r="H24" s="264">
        <f>'Exhibit G State'!H24</f>
        <v>9.5</v>
      </c>
      <c r="J24" s="264"/>
      <c r="L24" s="264"/>
      <c r="N24" s="264"/>
      <c r="P24" s="264"/>
      <c r="R24" s="264"/>
      <c r="S24" s="264"/>
      <c r="T24" s="264"/>
      <c r="U24" s="264"/>
      <c r="V24" s="264"/>
      <c r="W24" s="264"/>
      <c r="X24" s="264"/>
      <c r="Y24" s="264"/>
      <c r="Z24" s="264"/>
      <c r="AA24" s="264"/>
      <c r="AB24" s="264">
        <v>0</v>
      </c>
      <c r="AC24" s="264"/>
      <c r="AD24" s="523"/>
      <c r="AE24" s="264">
        <f>ROUND(SUM(D24:Z24),1)</f>
        <v>26</v>
      </c>
      <c r="AF24" s="264"/>
      <c r="AG24" s="523"/>
      <c r="AH24" s="287">
        <f>'Exhibit G State'!AF24</f>
        <v>25.6</v>
      </c>
      <c r="AI24" s="519"/>
      <c r="AJ24" s="264"/>
      <c r="AK24" s="264">
        <f t="shared" si="0"/>
        <v>0.4</v>
      </c>
      <c r="AL24" s="11"/>
      <c r="AM24" s="266">
        <f t="shared" si="1"/>
        <v>1.6E-2</v>
      </c>
      <c r="AN24" s="405"/>
    </row>
    <row r="25" spans="1:40" ht="15" customHeight="1">
      <c r="A25" s="291"/>
      <c r="B25" s="421" t="s">
        <v>360</v>
      </c>
      <c r="C25" s="291"/>
      <c r="D25" s="264">
        <f>'Exhibit G State'!D25</f>
        <v>0</v>
      </c>
      <c r="E25" s="264"/>
      <c r="F25" s="264">
        <f>'Exhibit G State'!F25</f>
        <v>0</v>
      </c>
      <c r="G25" s="264"/>
      <c r="H25" s="264">
        <f>'Exhibit G State'!H25</f>
        <v>0</v>
      </c>
      <c r="J25" s="264"/>
      <c r="L25" s="264"/>
      <c r="N25" s="264"/>
      <c r="P25" s="264"/>
      <c r="R25" s="264"/>
      <c r="S25" s="264"/>
      <c r="T25" s="264"/>
      <c r="U25" s="264"/>
      <c r="V25" s="264"/>
      <c r="W25" s="264"/>
      <c r="X25" s="264"/>
      <c r="Y25" s="264"/>
      <c r="Z25" s="264"/>
      <c r="AA25" s="264"/>
      <c r="AB25" s="264">
        <v>0</v>
      </c>
      <c r="AC25" s="264"/>
      <c r="AD25" s="523"/>
      <c r="AE25" s="264">
        <f>ROUND(SUM(D25:Z25),1)</f>
        <v>0</v>
      </c>
      <c r="AF25" s="264"/>
      <c r="AG25" s="523"/>
      <c r="AH25" s="287">
        <f>'Exhibit G State'!AF25</f>
        <v>-0.1</v>
      </c>
      <c r="AI25" s="519"/>
      <c r="AJ25" s="264"/>
      <c r="AK25" s="264">
        <f t="shared" ref="AK25" si="3">ROUND(SUM(+AE25-AH25),1)</f>
        <v>0.1</v>
      </c>
      <c r="AL25" s="11"/>
      <c r="AM25" s="266">
        <f>ROUND(IF(AH25=0,1,(AK25)/ABS(AH25)),3)</f>
        <v>1</v>
      </c>
      <c r="AN25" s="405"/>
    </row>
    <row r="26" spans="1:40" ht="15" customHeight="1">
      <c r="A26" s="291"/>
      <c r="B26" s="421" t="s">
        <v>361</v>
      </c>
      <c r="C26" s="291"/>
      <c r="D26" s="264">
        <f>'Exhibit G State'!D26</f>
        <v>0</v>
      </c>
      <c r="E26" s="264"/>
      <c r="F26" s="264">
        <f>'Exhibit G State'!F26</f>
        <v>0</v>
      </c>
      <c r="G26" s="264"/>
      <c r="H26" s="264">
        <f>'Exhibit G State'!H26</f>
        <v>0</v>
      </c>
      <c r="J26" s="264"/>
      <c r="L26" s="264"/>
      <c r="N26" s="264"/>
      <c r="P26" s="264"/>
      <c r="R26" s="264"/>
      <c r="S26" s="264"/>
      <c r="T26" s="264"/>
      <c r="U26" s="264"/>
      <c r="V26" s="264"/>
      <c r="W26" s="264"/>
      <c r="X26" s="264"/>
      <c r="Y26" s="264"/>
      <c r="Z26" s="264"/>
      <c r="AA26" s="264"/>
      <c r="AB26" s="264">
        <v>0</v>
      </c>
      <c r="AC26" s="264"/>
      <c r="AD26" s="523"/>
      <c r="AE26" s="264">
        <f t="shared" si="2"/>
        <v>0</v>
      </c>
      <c r="AF26" s="264"/>
      <c r="AG26" s="523"/>
      <c r="AH26" s="287">
        <f>'Exhibit G State'!AF26</f>
        <v>0</v>
      </c>
      <c r="AI26" s="519"/>
      <c r="AJ26" s="264"/>
      <c r="AK26" s="264">
        <f t="shared" si="0"/>
        <v>0</v>
      </c>
      <c r="AL26" s="11"/>
      <c r="AM26" s="266">
        <f t="shared" si="1"/>
        <v>0</v>
      </c>
      <c r="AN26" s="405"/>
    </row>
    <row r="27" spans="1:40" ht="15" customHeight="1">
      <c r="A27" s="291"/>
      <c r="B27" s="421" t="s">
        <v>362</v>
      </c>
      <c r="C27" s="291"/>
      <c r="D27" s="264">
        <f>'Exhibit G State'!D27</f>
        <v>0</v>
      </c>
      <c r="E27" s="264"/>
      <c r="F27" s="264">
        <f>'Exhibit G State'!F27</f>
        <v>0.1</v>
      </c>
      <c r="G27" s="264"/>
      <c r="H27" s="264">
        <f>'Exhibit G State'!H27</f>
        <v>0</v>
      </c>
      <c r="J27" s="264"/>
      <c r="L27" s="264"/>
      <c r="N27" s="264"/>
      <c r="P27" s="264"/>
      <c r="R27" s="264"/>
      <c r="S27" s="264"/>
      <c r="T27" s="264"/>
      <c r="U27" s="264"/>
      <c r="V27" s="264"/>
      <c r="W27" s="264"/>
      <c r="X27" s="264"/>
      <c r="Y27" s="264"/>
      <c r="Z27" s="264"/>
      <c r="AA27" s="264"/>
      <c r="AB27" s="264">
        <v>0</v>
      </c>
      <c r="AC27" s="264"/>
      <c r="AD27" s="523"/>
      <c r="AE27" s="264">
        <f t="shared" si="2"/>
        <v>0.1</v>
      </c>
      <c r="AF27" s="264"/>
      <c r="AG27" s="523"/>
      <c r="AH27" s="287">
        <f>'Exhibit G State'!AF27</f>
        <v>0.2</v>
      </c>
      <c r="AI27" s="519"/>
      <c r="AJ27" s="264"/>
      <c r="AK27" s="264">
        <f t="shared" si="0"/>
        <v>-0.1</v>
      </c>
      <c r="AL27" s="11"/>
      <c r="AM27" s="542">
        <f>ROUND(IF(AH27=0,1,AK27/ABS(AH27)),3)</f>
        <v>-0.5</v>
      </c>
      <c r="AN27" s="405"/>
    </row>
    <row r="28" spans="1:40" ht="15" customHeight="1">
      <c r="A28" s="291"/>
      <c r="B28" s="284" t="s">
        <v>437</v>
      </c>
      <c r="C28" s="291"/>
      <c r="D28" s="264">
        <f>'Exhibit G State'!D28</f>
        <v>0.3</v>
      </c>
      <c r="E28" s="264"/>
      <c r="F28" s="264">
        <f>'Exhibit G State'!F28</f>
        <v>0</v>
      </c>
      <c r="G28" s="264"/>
      <c r="H28" s="264">
        <f>'Exhibit G State'!H28</f>
        <v>4.6000000000000005</v>
      </c>
      <c r="J28" s="264"/>
      <c r="L28" s="264"/>
      <c r="N28" s="264"/>
      <c r="P28" s="264"/>
      <c r="R28" s="264"/>
      <c r="S28" s="264"/>
      <c r="T28" s="264"/>
      <c r="U28" s="264"/>
      <c r="V28" s="264"/>
      <c r="W28" s="264"/>
      <c r="X28" s="264"/>
      <c r="Y28" s="264"/>
      <c r="Z28" s="264"/>
      <c r="AA28" s="264"/>
      <c r="AB28" s="264">
        <v>0</v>
      </c>
      <c r="AC28" s="264"/>
      <c r="AD28" s="523"/>
      <c r="AE28" s="264">
        <f t="shared" ref="AE28" si="4">ROUND(SUM(D28:Z28),1)</f>
        <v>4.9000000000000004</v>
      </c>
      <c r="AF28" s="264"/>
      <c r="AG28" s="523"/>
      <c r="AH28" s="287">
        <f>'Exhibit G State'!AF28</f>
        <v>5</v>
      </c>
      <c r="AI28" s="519"/>
      <c r="AJ28" s="264"/>
      <c r="AK28" s="264">
        <f t="shared" ref="AK28" si="5">ROUND(SUM(+AE28-AH28),1)</f>
        <v>-0.1</v>
      </c>
      <c r="AL28" s="11"/>
      <c r="AM28" s="542">
        <f>ROUND(IF(AH28=0,1,AK28/ABS(AH28)),3)</f>
        <v>-0.02</v>
      </c>
      <c r="AN28" s="405"/>
    </row>
    <row r="29" spans="1:40" s="57" customFormat="1" ht="15" customHeight="1">
      <c r="A29" s="3"/>
      <c r="B29" s="3" t="s">
        <v>480</v>
      </c>
      <c r="C29" s="3"/>
      <c r="D29" s="673">
        <f>ROUND(SUM(D20:D28),1)</f>
        <v>221.9</v>
      </c>
      <c r="E29"/>
      <c r="F29" s="673">
        <f>ROUND(SUM(F20:F28),1)</f>
        <v>161.19999999999999</v>
      </c>
      <c r="G29"/>
      <c r="H29" s="673">
        <f>ROUND(SUM(H20:H28),1)</f>
        <v>267.3</v>
      </c>
      <c r="I29"/>
      <c r="J29" s="673">
        <f>ROUND(SUM(J20:J28),1)</f>
        <v>0</v>
      </c>
      <c r="K29"/>
      <c r="L29" s="673">
        <f>ROUND(SUM(L20:L28),1)</f>
        <v>0</v>
      </c>
      <c r="M29"/>
      <c r="N29" s="673">
        <f>ROUND(SUM(N20:N28),1)</f>
        <v>0</v>
      </c>
      <c r="O29"/>
      <c r="P29" s="673">
        <f>ROUND(SUM(P20:P28),1)</f>
        <v>0</v>
      </c>
      <c r="Q29"/>
      <c r="R29" s="673">
        <f>ROUND(SUM(R20:R28),1)</f>
        <v>0</v>
      </c>
      <c r="S29"/>
      <c r="T29" s="673">
        <f>ROUND(SUM(T20:T28),1)</f>
        <v>0</v>
      </c>
      <c r="U29"/>
      <c r="V29" s="673">
        <f>ROUND(SUM(V20:V28),1)</f>
        <v>0</v>
      </c>
      <c r="W29"/>
      <c r="X29" s="673">
        <f>ROUND(SUM(X20:X28),1)</f>
        <v>0</v>
      </c>
      <c r="Y29"/>
      <c r="Z29" s="673">
        <f>ROUND(SUM(Z20:Z28),1)</f>
        <v>0</v>
      </c>
      <c r="AA29" s="13"/>
      <c r="AB29" s="673">
        <f>ROUND(SUM(AB20:AB28),1)</f>
        <v>0</v>
      </c>
      <c r="AC29" s="13"/>
      <c r="AD29" s="14"/>
      <c r="AE29" s="673">
        <f>ROUND(SUM(AE20:AE28),1)</f>
        <v>650.4</v>
      </c>
      <c r="AF29" s="13"/>
      <c r="AG29" s="14"/>
      <c r="AH29" s="673">
        <f>ROUND(SUM(AH20:AH28),1)</f>
        <v>605.70000000000005</v>
      </c>
      <c r="AI29" s="75"/>
      <c r="AJ29" s="13"/>
      <c r="AK29" s="673">
        <f>ROUND(SUM(AK20:AK28),1)</f>
        <v>44.7</v>
      </c>
      <c r="AM29" s="923">
        <f>ROUND(SUM(+AK29/AH29),3)</f>
        <v>7.3999999999999996E-2</v>
      </c>
      <c r="AN29" s="405"/>
    </row>
    <row r="30" spans="1:40" ht="15" customHeight="1">
      <c r="A30" s="291"/>
      <c r="B30" s="412" t="s">
        <v>366</v>
      </c>
      <c r="C30" s="291"/>
      <c r="D30" s="264"/>
      <c r="F30" s="264"/>
      <c r="H30" s="264"/>
      <c r="J30" s="264"/>
      <c r="L30" s="264"/>
      <c r="N30" s="264"/>
      <c r="P30" s="264"/>
      <c r="R30" s="264"/>
      <c r="T30" s="264"/>
      <c r="V30" s="264"/>
      <c r="X30" s="264"/>
      <c r="Z30" s="264"/>
      <c r="AA30" s="264"/>
      <c r="AB30" s="264"/>
      <c r="AC30" s="264"/>
      <c r="AD30" s="523"/>
      <c r="AE30" s="264"/>
      <c r="AF30" s="264"/>
      <c r="AG30" s="523"/>
      <c r="AH30" s="264"/>
      <c r="AI30" s="519"/>
      <c r="AJ30" s="264"/>
      <c r="AK30" s="264"/>
      <c r="AL30" s="364"/>
      <c r="AM30" s="283"/>
      <c r="AN30" s="405"/>
    </row>
    <row r="31" spans="1:40" ht="15" customHeight="1">
      <c r="A31" s="291"/>
      <c r="B31" s="421" t="s">
        <v>367</v>
      </c>
      <c r="C31" s="291"/>
      <c r="D31" s="264">
        <f>'Exhibit G State'!D31</f>
        <v>299.2</v>
      </c>
      <c r="E31" s="264"/>
      <c r="F31" s="264">
        <f>'Exhibit G State'!F31</f>
        <v>96.800000000000011</v>
      </c>
      <c r="G31" s="264"/>
      <c r="H31" s="264">
        <f>'Exhibit G State'!H31</f>
        <v>457.09999999999997</v>
      </c>
      <c r="J31" s="264"/>
      <c r="L31" s="264"/>
      <c r="N31" s="264"/>
      <c r="P31" s="264"/>
      <c r="R31" s="264"/>
      <c r="S31" s="264"/>
      <c r="T31" s="264"/>
      <c r="U31" s="264"/>
      <c r="V31" s="264"/>
      <c r="W31" s="264"/>
      <c r="X31" s="264"/>
      <c r="Y31" s="264"/>
      <c r="Z31" s="264"/>
      <c r="AA31" s="264"/>
      <c r="AB31" s="264">
        <v>0</v>
      </c>
      <c r="AC31" s="264"/>
      <c r="AD31" s="523"/>
      <c r="AE31" s="264">
        <f>ROUND(SUM(D31:Z31),1)</f>
        <v>853.1</v>
      </c>
      <c r="AF31" s="264"/>
      <c r="AG31" s="523"/>
      <c r="AH31" s="264">
        <f>'Exhibit G State'!AF31</f>
        <v>586.9</v>
      </c>
      <c r="AI31" s="519"/>
      <c r="AJ31" s="264"/>
      <c r="AK31" s="264">
        <f>ROUND(SUM(+AE31-AH31),1)</f>
        <v>266.2</v>
      </c>
      <c r="AL31" s="11"/>
      <c r="AM31" s="266">
        <f>ROUND(IF(AH31=0,0,AK31/ABS(AH31)),3)</f>
        <v>0.45400000000000001</v>
      </c>
      <c r="AN31" s="405"/>
    </row>
    <row r="32" spans="1:40" ht="15" customHeight="1">
      <c r="A32" s="291"/>
      <c r="B32" s="421" t="s">
        <v>368</v>
      </c>
      <c r="C32" s="291"/>
      <c r="D32" s="264">
        <f>'Exhibit G State'!D32</f>
        <v>15.4</v>
      </c>
      <c r="E32" s="264"/>
      <c r="F32" s="264">
        <f>'Exhibit G State'!F32</f>
        <v>1.0999999999999996</v>
      </c>
      <c r="G32" s="264"/>
      <c r="H32" s="264">
        <f>'Exhibit G State'!H32</f>
        <v>21.5</v>
      </c>
      <c r="J32" s="264"/>
      <c r="L32" s="264"/>
      <c r="N32" s="264"/>
      <c r="P32" s="264"/>
      <c r="R32" s="264"/>
      <c r="S32" s="264"/>
      <c r="T32" s="264"/>
      <c r="U32" s="264"/>
      <c r="V32" s="264"/>
      <c r="W32" s="264"/>
      <c r="X32" s="264"/>
      <c r="Y32" s="264"/>
      <c r="Z32" s="264"/>
      <c r="AA32" s="264"/>
      <c r="AB32" s="264">
        <v>0</v>
      </c>
      <c r="AC32" s="264"/>
      <c r="AD32" s="523"/>
      <c r="AE32" s="264">
        <f>ROUND(SUM(D32:Z32),1)</f>
        <v>38</v>
      </c>
      <c r="AF32" s="264"/>
      <c r="AG32" s="523"/>
      <c r="AH32" s="264">
        <f>'Exhibit G State'!AF32</f>
        <v>42</v>
      </c>
      <c r="AI32" s="519"/>
      <c r="AJ32" s="264"/>
      <c r="AK32" s="264">
        <f>ROUND(SUM(+AE32-AH32),1)</f>
        <v>-4</v>
      </c>
      <c r="AL32" s="11"/>
      <c r="AM32" s="266">
        <f>ROUND(IF(AH32=0,0,AK32/ABS(AH32)),3)</f>
        <v>-9.5000000000000001E-2</v>
      </c>
      <c r="AN32" s="405"/>
    </row>
    <row r="33" spans="1:40" ht="15" customHeight="1">
      <c r="A33" s="291"/>
      <c r="B33" s="421" t="s">
        <v>369</v>
      </c>
      <c r="C33" s="291"/>
      <c r="D33" s="264">
        <f>'Exhibit G State'!D33</f>
        <v>3.9</v>
      </c>
      <c r="E33" s="264"/>
      <c r="F33" s="264">
        <f>'Exhibit G State'!F33</f>
        <v>0.50000000000000044</v>
      </c>
      <c r="G33" s="264"/>
      <c r="H33" s="264">
        <f>'Exhibit G State'!H33</f>
        <v>52.300000000000004</v>
      </c>
      <c r="J33" s="264"/>
      <c r="L33" s="264"/>
      <c r="N33" s="264"/>
      <c r="P33" s="264"/>
      <c r="R33" s="264"/>
      <c r="S33" s="264"/>
      <c r="T33" s="264"/>
      <c r="U33" s="264"/>
      <c r="V33" s="264"/>
      <c r="W33" s="264"/>
      <c r="X33" s="264"/>
      <c r="Y33" s="264"/>
      <c r="Z33" s="264"/>
      <c r="AA33" s="264"/>
      <c r="AB33" s="264">
        <v>0</v>
      </c>
      <c r="AC33" s="264"/>
      <c r="AD33" s="523"/>
      <c r="AE33" s="264">
        <f>ROUND(SUM(D33:Z33),1)</f>
        <v>56.7</v>
      </c>
      <c r="AF33" s="264"/>
      <c r="AG33" s="523"/>
      <c r="AH33" s="264">
        <f>'Exhibit G State'!AF33</f>
        <v>58.2</v>
      </c>
      <c r="AI33" s="519"/>
      <c r="AJ33" s="264"/>
      <c r="AK33" s="264">
        <f>ROUND(SUM(+AE33-AH33),1)</f>
        <v>-1.5</v>
      </c>
      <c r="AL33" s="11"/>
      <c r="AM33" s="542">
        <f>ROUND(IF(AH33=0,0,AK33/ABS(AH33)),3)</f>
        <v>-2.5999999999999999E-2</v>
      </c>
      <c r="AN33" s="405"/>
    </row>
    <row r="34" spans="1:40" ht="15" customHeight="1">
      <c r="A34" s="291"/>
      <c r="B34" s="421" t="s">
        <v>370</v>
      </c>
      <c r="C34" s="291"/>
      <c r="D34" s="264">
        <f>'Exhibit G State'!D34</f>
        <v>-0.8</v>
      </c>
      <c r="E34" s="264"/>
      <c r="F34" s="264">
        <f>'Exhibit G State'!F34</f>
        <v>0</v>
      </c>
      <c r="G34" s="264"/>
      <c r="H34" s="264">
        <f>'Exhibit G State'!H34</f>
        <v>0</v>
      </c>
      <c r="J34" s="264"/>
      <c r="L34" s="264"/>
      <c r="N34" s="264"/>
      <c r="P34" s="264"/>
      <c r="R34" s="264"/>
      <c r="S34" s="264"/>
      <c r="T34" s="264"/>
      <c r="U34" s="264"/>
      <c r="V34" s="264"/>
      <c r="W34" s="264"/>
      <c r="X34" s="264"/>
      <c r="Y34" s="264"/>
      <c r="Z34" s="264"/>
      <c r="AA34" s="264"/>
      <c r="AB34" s="264">
        <v>0</v>
      </c>
      <c r="AC34" s="264"/>
      <c r="AD34" s="523"/>
      <c r="AE34" s="264">
        <f>ROUND(SUM(D34:Z34),1)</f>
        <v>-0.8</v>
      </c>
      <c r="AF34" s="264"/>
      <c r="AG34" s="523"/>
      <c r="AH34" s="264">
        <f>'Exhibit G State'!AF34</f>
        <v>-0.9</v>
      </c>
      <c r="AI34" s="519"/>
      <c r="AJ34" s="264"/>
      <c r="AK34" s="264">
        <f>ROUND(SUM(+AE34-AH34),1)</f>
        <v>0.1</v>
      </c>
      <c r="AL34" s="11"/>
      <c r="AM34" s="542">
        <f>ROUND(IF(AH34=0,1,AK34/ABS(AH34)),3)</f>
        <v>0.111</v>
      </c>
      <c r="AN34" s="405"/>
    </row>
    <row r="35" spans="1:40" ht="15" customHeight="1">
      <c r="A35" s="291"/>
      <c r="B35" s="421" t="s">
        <v>372</v>
      </c>
      <c r="C35" s="291"/>
      <c r="D35" s="264">
        <f>'Exhibit G State'!D35</f>
        <v>32.700000000000003</v>
      </c>
      <c r="E35" s="264"/>
      <c r="F35" s="264">
        <f>'Exhibit G State'!F35</f>
        <v>34.399999999999991</v>
      </c>
      <c r="G35" s="264"/>
      <c r="H35" s="264">
        <f>'Exhibit G State'!H35</f>
        <v>39.100000000000009</v>
      </c>
      <c r="J35" s="264"/>
      <c r="L35" s="264"/>
      <c r="N35" s="264"/>
      <c r="P35" s="264"/>
      <c r="R35" s="264"/>
      <c r="S35" s="264"/>
      <c r="T35" s="264"/>
      <c r="U35" s="264"/>
      <c r="V35" s="264"/>
      <c r="W35" s="264"/>
      <c r="X35" s="264"/>
      <c r="Y35" s="264"/>
      <c r="Z35" s="264"/>
      <c r="AA35" s="264"/>
      <c r="AB35" s="264">
        <v>0</v>
      </c>
      <c r="AC35" s="264"/>
      <c r="AD35" s="523"/>
      <c r="AE35" s="264">
        <f>ROUND(SUM(D35:Z35),1)</f>
        <v>106.2</v>
      </c>
      <c r="AF35" s="264"/>
      <c r="AG35" s="523"/>
      <c r="AH35" s="264">
        <f>'Exhibit G State'!AF35</f>
        <v>112.4</v>
      </c>
      <c r="AI35" s="519"/>
      <c r="AJ35" s="264"/>
      <c r="AK35" s="264">
        <f>ROUND(SUM(+AE35-AH35),1)</f>
        <v>-6.2</v>
      </c>
      <c r="AL35" s="11"/>
      <c r="AM35" s="266">
        <f>ROUND(IF(AH35=0,0,AK35/ABS(AH35)),3)</f>
        <v>-5.5E-2</v>
      </c>
      <c r="AN35" s="405"/>
    </row>
    <row r="36" spans="1:40" s="57" customFormat="1" ht="15" customHeight="1">
      <c r="A36" s="3"/>
      <c r="B36" s="3" t="s">
        <v>481</v>
      </c>
      <c r="C36" s="3"/>
      <c r="D36" s="673">
        <f t="shared" ref="D36:F36" si="6">ROUND(SUM(D31:D35),1)</f>
        <v>350.4</v>
      </c>
      <c r="E36"/>
      <c r="F36" s="673">
        <f t="shared" si="6"/>
        <v>132.80000000000001</v>
      </c>
      <c r="G36"/>
      <c r="H36" s="673">
        <f>ROUND(SUM(H31:H35),1)</f>
        <v>570</v>
      </c>
      <c r="I36"/>
      <c r="J36" s="673">
        <f>ROUND(SUM(J31:J35),1)</f>
        <v>0</v>
      </c>
      <c r="K36"/>
      <c r="L36" s="673">
        <f>ROUND(SUM(L31:L35),1)</f>
        <v>0</v>
      </c>
      <c r="M36"/>
      <c r="N36" s="673">
        <f>ROUND(SUM(N31:N35),1)</f>
        <v>0</v>
      </c>
      <c r="O36"/>
      <c r="P36" s="673">
        <f>ROUND(SUM(P31:P35),1)</f>
        <v>0</v>
      </c>
      <c r="Q36"/>
      <c r="R36" s="673">
        <f>ROUND(SUM(R31:R35),1)</f>
        <v>0</v>
      </c>
      <c r="S36"/>
      <c r="T36" s="673">
        <f>ROUND(SUM(T31:T35),1)</f>
        <v>0</v>
      </c>
      <c r="U36"/>
      <c r="V36" s="673">
        <f>ROUND(SUM(V31:V35),1)</f>
        <v>0</v>
      </c>
      <c r="W36"/>
      <c r="X36" s="673">
        <f>ROUND(SUM(X31:X35),1)</f>
        <v>0</v>
      </c>
      <c r="Y36"/>
      <c r="Z36" s="673">
        <f>ROUND(SUM(Z31:Z35),1)</f>
        <v>0</v>
      </c>
      <c r="AA36" s="13"/>
      <c r="AB36" s="673">
        <f>SUM(AB31:AB35)</f>
        <v>0</v>
      </c>
      <c r="AC36" s="13"/>
      <c r="AD36" s="14"/>
      <c r="AE36" s="673">
        <f>ROUND(SUM(AE31:AE35),1)</f>
        <v>1053.2</v>
      </c>
      <c r="AF36" s="13"/>
      <c r="AG36" s="14"/>
      <c r="AH36" s="673">
        <f>ROUND(SUM(AH31:AH35),1)</f>
        <v>798.6</v>
      </c>
      <c r="AI36" s="75"/>
      <c r="AJ36" s="13"/>
      <c r="AK36" s="673">
        <f>ROUND(SUM(AK31:AK35),1)</f>
        <v>254.6</v>
      </c>
      <c r="AM36" s="923">
        <f>ROUND(SUM(+AK36/AH36),3)</f>
        <v>0.31900000000000001</v>
      </c>
      <c r="AN36" s="405"/>
    </row>
    <row r="37" spans="1:40" ht="15" customHeight="1">
      <c r="A37" s="291"/>
      <c r="B37"/>
      <c r="C37" s="291"/>
      <c r="D37" s="264"/>
      <c r="F37" s="264"/>
      <c r="H37" s="264"/>
      <c r="J37" s="264"/>
      <c r="L37" s="264"/>
      <c r="N37" s="264"/>
      <c r="P37" s="264"/>
      <c r="R37" s="264"/>
      <c r="T37" s="264"/>
      <c r="V37" s="264"/>
      <c r="X37" s="264"/>
      <c r="Z37" s="264"/>
      <c r="AA37" s="264"/>
      <c r="AB37" s="264"/>
      <c r="AC37" s="264"/>
      <c r="AD37" s="523"/>
      <c r="AE37" s="264"/>
      <c r="AF37" s="264"/>
      <c r="AG37" s="523"/>
      <c r="AH37" s="264"/>
      <c r="AI37" s="519"/>
      <c r="AJ37" s="264"/>
      <c r="AK37" s="264"/>
      <c r="AL37" s="364"/>
      <c r="AM37" s="283"/>
      <c r="AN37" s="405"/>
    </row>
    <row r="38" spans="1:40" ht="15" customHeight="1">
      <c r="A38" s="291"/>
      <c r="B38" s="3" t="s">
        <v>482</v>
      </c>
      <c r="C38" s="291"/>
      <c r="D38" s="357">
        <f>ROUND(SUM(D17+D29+D36),1)</f>
        <v>572.29999999999995</v>
      </c>
      <c r="F38" s="357">
        <f>ROUND(SUM(F17+F29+F36),1)</f>
        <v>294</v>
      </c>
      <c r="H38" s="357">
        <f>ROUND(SUM(H17+H29+H36),1)</f>
        <v>837.3</v>
      </c>
      <c r="J38" s="357">
        <f>ROUND(SUM(J17+J29+J36),1)</f>
        <v>0</v>
      </c>
      <c r="L38" s="357">
        <f>ROUND(SUM(L17+L29+L36),1)</f>
        <v>0</v>
      </c>
      <c r="N38" s="357">
        <f>ROUND(SUM(N17+N29+N36),1)</f>
        <v>0</v>
      </c>
      <c r="P38" s="357">
        <f>ROUND(SUM(P17+P29+P36),1)</f>
        <v>0</v>
      </c>
      <c r="R38" s="357">
        <f>ROUND(SUM(R17+R29+R36),1)</f>
        <v>0</v>
      </c>
      <c r="T38" s="357">
        <f>ROUND(SUM(T17+T29+T36),1)</f>
        <v>0</v>
      </c>
      <c r="V38" s="357">
        <f>ROUND(SUM(V17+V29+V36),1)</f>
        <v>0</v>
      </c>
      <c r="X38" s="357">
        <f>ROUND(SUM(X17+X29+X36),1)</f>
        <v>0</v>
      </c>
      <c r="Z38" s="357">
        <f>ROUND(SUM(Z17+Z29+Z36),1)</f>
        <v>0</v>
      </c>
      <c r="AA38" s="13"/>
      <c r="AB38" s="357">
        <f>ROUND(SUM(AB17+AB29+AB36),1)</f>
        <v>0</v>
      </c>
      <c r="AC38" s="13"/>
      <c r="AD38" s="523"/>
      <c r="AE38" s="357">
        <f>ROUND(SUM(AE17+AE29+AE36),1)</f>
        <v>1703.6</v>
      </c>
      <c r="AF38" s="264"/>
      <c r="AG38" s="523"/>
      <c r="AH38" s="357">
        <f>ROUND(SUM(AH17+AH29+AH36),1)</f>
        <v>1404.3</v>
      </c>
      <c r="AI38" s="519"/>
      <c r="AJ38" s="264"/>
      <c r="AK38" s="357">
        <f>ROUND(SUM(AK17+AK29+AK36),1)</f>
        <v>299.3</v>
      </c>
      <c r="AL38" s="364"/>
      <c r="AM38" s="368">
        <f>ROUND(SUM(+AK38/AH38),3)</f>
        <v>0.21299999999999999</v>
      </c>
      <c r="AN38" s="405"/>
    </row>
    <row r="39" spans="1:40" ht="15" customHeight="1">
      <c r="A39" s="291"/>
      <c r="B39" s="291"/>
      <c r="C39" s="291"/>
      <c r="D39" s="11"/>
      <c r="F39" s="11"/>
      <c r="H39" s="287"/>
      <c r="J39" s="287"/>
      <c r="L39" s="287"/>
      <c r="N39" s="287"/>
      <c r="P39" s="287"/>
      <c r="R39" s="287"/>
      <c r="T39" s="287"/>
      <c r="V39" s="287"/>
      <c r="X39" s="287"/>
      <c r="Z39" s="287"/>
      <c r="AA39" s="11"/>
      <c r="AB39" s="264"/>
      <c r="AC39" s="264"/>
      <c r="AD39" s="523"/>
      <c r="AE39" s="264"/>
      <c r="AF39" s="264"/>
      <c r="AG39" s="523"/>
      <c r="AH39" s="288"/>
      <c r="AI39" s="1034"/>
      <c r="AJ39" s="264"/>
      <c r="AK39" s="264"/>
      <c r="AL39" s="11"/>
      <c r="AM39" s="283"/>
      <c r="AN39" s="405"/>
    </row>
    <row r="40" spans="1:40" ht="15" customHeight="1">
      <c r="A40" s="291"/>
      <c r="B40" s="1216" t="s">
        <v>383</v>
      </c>
      <c r="C40" s="291"/>
      <c r="D40" s="11"/>
      <c r="F40" s="11"/>
      <c r="H40" s="287"/>
      <c r="J40" s="287"/>
      <c r="L40" s="287"/>
      <c r="N40" s="287"/>
      <c r="P40" s="287"/>
      <c r="R40" s="287"/>
      <c r="T40" s="287"/>
      <c r="V40" s="287"/>
      <c r="X40" s="287"/>
      <c r="Z40" s="287"/>
      <c r="AA40" s="11"/>
      <c r="AB40" s="264"/>
      <c r="AC40" s="264"/>
      <c r="AD40" s="523"/>
      <c r="AE40" s="264"/>
      <c r="AF40" s="264"/>
      <c r="AG40" s="523"/>
      <c r="AH40" s="288"/>
      <c r="AI40" s="1034"/>
      <c r="AJ40" s="264"/>
      <c r="AK40" s="264"/>
      <c r="AL40" s="11"/>
      <c r="AM40" s="283"/>
      <c r="AN40" s="405"/>
    </row>
    <row r="41" spans="1:40" ht="15" customHeight="1">
      <c r="A41" s="291"/>
      <c r="B41" s="350" t="s">
        <v>384</v>
      </c>
      <c r="C41" s="291"/>
      <c r="D41" s="11"/>
      <c r="F41" s="11"/>
      <c r="H41" s="287"/>
      <c r="J41" s="287"/>
      <c r="L41" s="287"/>
      <c r="N41" s="287"/>
      <c r="P41" s="287"/>
      <c r="R41" s="287"/>
      <c r="T41" s="287"/>
      <c r="V41" s="287"/>
      <c r="X41" s="287"/>
      <c r="Z41" s="287"/>
      <c r="AA41" s="11"/>
      <c r="AB41" s="264"/>
      <c r="AC41" s="264"/>
      <c r="AD41" s="523"/>
      <c r="AE41" s="264"/>
      <c r="AF41" s="264"/>
      <c r="AG41" s="523"/>
      <c r="AH41" s="288"/>
      <c r="AI41" s="1034"/>
      <c r="AJ41" s="264"/>
      <c r="AK41" s="264"/>
      <c r="AL41" s="11"/>
      <c r="AM41" s="283"/>
      <c r="AN41" s="405"/>
    </row>
    <row r="42" spans="1:40" ht="15" customHeight="1">
      <c r="A42" s="291"/>
      <c r="B42" s="350" t="s">
        <v>1400</v>
      </c>
      <c r="C42" s="291"/>
      <c r="D42" s="287">
        <f>'Exhibit G State'!D42+'Exhibit G Federal'!D19</f>
        <v>1.4</v>
      </c>
      <c r="E42" s="287"/>
      <c r="F42" s="287">
        <f>'Exhibit G State'!F42+'Exhibit G Federal'!F19</f>
        <v>1.1000000000000001</v>
      </c>
      <c r="G42" s="287"/>
      <c r="H42" s="287">
        <f>'Exhibit G State'!H42+'Exhibit G Federal'!H19</f>
        <v>2.2000000000000002</v>
      </c>
      <c r="J42" s="287"/>
      <c r="L42" s="287"/>
      <c r="N42" s="287"/>
      <c r="P42" s="287"/>
      <c r="R42" s="287"/>
      <c r="S42" s="287"/>
      <c r="T42" s="287"/>
      <c r="U42" s="287"/>
      <c r="V42" s="287"/>
      <c r="W42" s="287"/>
      <c r="X42" s="287"/>
      <c r="Y42" s="287"/>
      <c r="Z42" s="287"/>
      <c r="AA42" s="287"/>
      <c r="AB42" s="264">
        <v>0</v>
      </c>
      <c r="AC42" s="264"/>
      <c r="AD42" s="523"/>
      <c r="AE42" s="264">
        <f t="shared" ref="AE42:AE83" si="7">ROUND(SUM(D42:Z42),1)</f>
        <v>4.7</v>
      </c>
      <c r="AF42" s="264"/>
      <c r="AG42" s="523"/>
      <c r="AH42" s="287">
        <f>'Exhibit G State'!AF42+'Exhibit G Federal'!AF19</f>
        <v>3.8</v>
      </c>
      <c r="AI42" s="1034"/>
      <c r="AJ42" s="264"/>
      <c r="AK42" s="264">
        <f>ROUND(SUM(+AE42-AH42),1)</f>
        <v>0.9</v>
      </c>
      <c r="AL42" s="11"/>
      <c r="AM42" s="266">
        <f>ROUND(IF(AH42=0,0,AK42/ABS(AH42)),3)</f>
        <v>0.23699999999999999</v>
      </c>
      <c r="AN42" s="405"/>
    </row>
    <row r="43" spans="1:40" ht="15" customHeight="1">
      <c r="A43" s="291"/>
      <c r="B43" s="350" t="s">
        <v>387</v>
      </c>
      <c r="C43" s="291"/>
      <c r="D43" s="287"/>
      <c r="E43" s="287"/>
      <c r="F43" s="287"/>
      <c r="G43" s="287"/>
      <c r="H43" s="287"/>
      <c r="J43" s="287"/>
      <c r="L43" s="287"/>
      <c r="N43" s="287"/>
      <c r="P43" s="287"/>
      <c r="R43" s="287"/>
      <c r="S43" s="264"/>
      <c r="T43" s="287"/>
      <c r="U43" s="264"/>
      <c r="V43" s="287"/>
      <c r="W43" s="264"/>
      <c r="X43" s="287"/>
      <c r="Y43" s="264"/>
      <c r="Z43" s="287"/>
      <c r="AA43" s="287"/>
      <c r="AB43" s="264"/>
      <c r="AC43" s="264"/>
      <c r="AD43" s="523"/>
      <c r="AE43" s="264"/>
      <c r="AF43" s="264"/>
      <c r="AG43" s="523"/>
      <c r="AH43" s="287"/>
      <c r="AI43" s="1034"/>
      <c r="AJ43" s="264"/>
      <c r="AK43" s="264"/>
      <c r="AL43" s="11"/>
      <c r="AM43" s="283"/>
      <c r="AN43" s="405"/>
    </row>
    <row r="44" spans="1:40" ht="15" customHeight="1">
      <c r="A44" s="291"/>
      <c r="B44" s="350" t="s">
        <v>483</v>
      </c>
      <c r="C44" s="291"/>
      <c r="D44" s="287">
        <f>'Exhibit G State'!D44+'Exhibit G Federal'!D21</f>
        <v>131.6</v>
      </c>
      <c r="E44" s="287"/>
      <c r="F44" s="287">
        <f>'Exhibit G State'!F44+'Exhibit G Federal'!F21</f>
        <v>98</v>
      </c>
      <c r="G44" s="287"/>
      <c r="H44" s="287">
        <f>'Exhibit G State'!H44+'Exhibit G Federal'!H21</f>
        <v>91</v>
      </c>
      <c r="J44" s="287"/>
      <c r="L44" s="287"/>
      <c r="N44" s="287"/>
      <c r="P44" s="287"/>
      <c r="R44" s="287"/>
      <c r="S44" s="287"/>
      <c r="T44" s="287"/>
      <c r="U44" s="287"/>
      <c r="V44" s="287"/>
      <c r="W44" s="287"/>
      <c r="X44" s="287"/>
      <c r="Y44" s="287"/>
      <c r="Z44" s="287"/>
      <c r="AA44" s="287"/>
      <c r="AB44" s="264">
        <v>0</v>
      </c>
      <c r="AC44" s="264"/>
      <c r="AD44" s="523"/>
      <c r="AE44" s="264">
        <f>ROUND(SUM(D44:Z44),1)</f>
        <v>320.60000000000002</v>
      </c>
      <c r="AF44" s="264"/>
      <c r="AG44" s="523"/>
      <c r="AH44" s="287">
        <f>'Exhibit G State'!AF44+'Exhibit G Federal'!AF21</f>
        <v>197</v>
      </c>
      <c r="AI44" s="1034"/>
      <c r="AJ44" s="264"/>
      <c r="AK44" s="264">
        <f>ROUND(SUM(+AE44-AH44),1)</f>
        <v>123.6</v>
      </c>
      <c r="AL44" s="11"/>
      <c r="AM44" s="266">
        <f>ROUND(IF(AH44=0,0,AK44/ABS(AH44)),3)</f>
        <v>0.627</v>
      </c>
      <c r="AN44" s="405"/>
    </row>
    <row r="45" spans="1:40" ht="15" customHeight="1">
      <c r="A45" s="291"/>
      <c r="B45" s="350" t="s">
        <v>1402</v>
      </c>
      <c r="C45" s="291"/>
      <c r="D45" s="287">
        <f>'Exhibit G State'!D45+'Exhibit G Federal'!D22</f>
        <v>653.4</v>
      </c>
      <c r="E45" s="287"/>
      <c r="F45" s="287">
        <f>'Exhibit G State'!F45+'Exhibit G Federal'!F22</f>
        <v>793.00000000000011</v>
      </c>
      <c r="G45" s="287"/>
      <c r="H45" s="287">
        <f>'Exhibit G State'!H45+'Exhibit G Federal'!H22</f>
        <v>884.6</v>
      </c>
      <c r="J45" s="287"/>
      <c r="L45" s="287"/>
      <c r="N45" s="287"/>
      <c r="P45" s="287"/>
      <c r="R45" s="287"/>
      <c r="S45" s="287"/>
      <c r="T45" s="287"/>
      <c r="U45" s="287"/>
      <c r="V45" s="287"/>
      <c r="W45" s="287"/>
      <c r="X45" s="287"/>
      <c r="Y45" s="287"/>
      <c r="Z45" s="287"/>
      <c r="AA45" s="287"/>
      <c r="AB45" s="264">
        <v>0</v>
      </c>
      <c r="AC45" s="264"/>
      <c r="AD45" s="523"/>
      <c r="AE45" s="264">
        <f t="shared" si="7"/>
        <v>2331</v>
      </c>
      <c r="AF45" s="264"/>
      <c r="AG45" s="523"/>
      <c r="AH45" s="287">
        <f>'Exhibit G State'!AF45+'Exhibit G Federal'!AF22</f>
        <v>2029.7</v>
      </c>
      <c r="AI45" s="1034"/>
      <c r="AJ45" s="264"/>
      <c r="AK45" s="264">
        <f>ROUND(SUM(+AE45-AH45),1)</f>
        <v>301.3</v>
      </c>
      <c r="AL45" s="11"/>
      <c r="AM45" s="266">
        <f>ROUND(IF(AH45=0,0,AK45/ABS(AH45)),3)</f>
        <v>0.14799999999999999</v>
      </c>
      <c r="AN45" s="405"/>
    </row>
    <row r="46" spans="1:40" ht="15" customHeight="1">
      <c r="A46" s="291"/>
      <c r="B46" s="350" t="s">
        <v>1403</v>
      </c>
      <c r="C46" s="291"/>
      <c r="D46" s="287">
        <f>'Exhibit G State'!D46+'Exhibit G Federal'!D23</f>
        <v>2.9</v>
      </c>
      <c r="E46" s="287"/>
      <c r="F46" s="287">
        <f>'Exhibit G State'!F46+'Exhibit G Federal'!F23</f>
        <v>0</v>
      </c>
      <c r="G46" s="287"/>
      <c r="H46" s="287">
        <f>'Exhibit G State'!H46+'Exhibit G Federal'!H23</f>
        <v>0.70000000000000018</v>
      </c>
      <c r="J46" s="287"/>
      <c r="L46" s="287"/>
      <c r="N46" s="287"/>
      <c r="P46" s="287"/>
      <c r="R46" s="287"/>
      <c r="S46" s="287"/>
      <c r="T46" s="287"/>
      <c r="U46" s="287"/>
      <c r="V46" s="287"/>
      <c r="W46" s="287"/>
      <c r="X46" s="287"/>
      <c r="Y46" s="287"/>
      <c r="Z46" s="287"/>
      <c r="AA46" s="287"/>
      <c r="AB46" s="264">
        <v>0</v>
      </c>
      <c r="AC46" s="264"/>
      <c r="AD46" s="523"/>
      <c r="AE46" s="264">
        <f t="shared" si="7"/>
        <v>3.6</v>
      </c>
      <c r="AF46" s="264"/>
      <c r="AG46" s="523"/>
      <c r="AH46" s="287">
        <f>'Exhibit G State'!AF46+'Exhibit G Federal'!AF23</f>
        <v>2.1</v>
      </c>
      <c r="AI46" s="1034"/>
      <c r="AJ46" s="264"/>
      <c r="AK46" s="264">
        <f>ROUND(SUM(+AE46-AH46),1)</f>
        <v>1.5</v>
      </c>
      <c r="AL46" s="11"/>
      <c r="AM46" s="542">
        <f>ROUND(IF(AH46=0,0,AK46/ABS(AH46)),3)</f>
        <v>0.71399999999999997</v>
      </c>
      <c r="AN46" s="405"/>
    </row>
    <row r="47" spans="1:40" ht="15" customHeight="1">
      <c r="A47" s="291"/>
      <c r="B47" s="350" t="s">
        <v>484</v>
      </c>
      <c r="C47" s="291"/>
      <c r="D47" s="287">
        <f>'Exhibit G State'!D47+'Exhibit G Federal'!D24</f>
        <v>0</v>
      </c>
      <c r="E47" s="287"/>
      <c r="F47" s="287">
        <f>'Exhibit G State'!F47+'Exhibit G Federal'!F24</f>
        <v>1005.1</v>
      </c>
      <c r="G47" s="287"/>
      <c r="H47" s="287">
        <f>'Exhibit G State'!H47+'Exhibit G Federal'!H24</f>
        <v>0.10000000000002274</v>
      </c>
      <c r="J47" s="287"/>
      <c r="L47" s="287"/>
      <c r="N47" s="287"/>
      <c r="P47" s="287"/>
      <c r="R47" s="287"/>
      <c r="S47" s="287"/>
      <c r="T47" s="287"/>
      <c r="U47" s="287"/>
      <c r="V47" s="287"/>
      <c r="W47" s="287"/>
      <c r="X47" s="287"/>
      <c r="Y47" s="287"/>
      <c r="Z47" s="287"/>
      <c r="AA47" s="287"/>
      <c r="AB47" s="264">
        <v>0</v>
      </c>
      <c r="AC47" s="264"/>
      <c r="AD47" s="523"/>
      <c r="AE47" s="264">
        <f t="shared" si="7"/>
        <v>1005.2</v>
      </c>
      <c r="AF47" s="264"/>
      <c r="AG47" s="523"/>
      <c r="AH47" s="287">
        <f>'Exhibit G State'!AF47+'Exhibit G Federal'!AF24</f>
        <v>0.1</v>
      </c>
      <c r="AI47" s="1034"/>
      <c r="AJ47" s="264"/>
      <c r="AK47" s="264">
        <f>ROUND(SUM(+AE47-AH47),1)</f>
        <v>1005.1</v>
      </c>
      <c r="AL47" s="11"/>
      <c r="AM47" s="542">
        <f>ROUND(IF(AH47=0,0,AK47/ABS(AH47)),3)</f>
        <v>10051</v>
      </c>
      <c r="AN47" s="405"/>
    </row>
    <row r="48" spans="1:40" ht="15" customHeight="1">
      <c r="A48" s="291"/>
      <c r="B48" s="350" t="s">
        <v>392</v>
      </c>
      <c r="C48" s="291"/>
      <c r="D48" s="287"/>
      <c r="E48" s="287"/>
      <c r="F48" s="287"/>
      <c r="G48" s="287"/>
      <c r="H48" s="287"/>
      <c r="J48" s="287"/>
      <c r="L48" s="287"/>
      <c r="N48" s="287"/>
      <c r="P48" s="287"/>
      <c r="R48" s="287"/>
      <c r="S48" s="264"/>
      <c r="T48" s="287"/>
      <c r="U48" s="264"/>
      <c r="V48" s="287"/>
      <c r="W48" s="264"/>
      <c r="X48" s="287"/>
      <c r="Y48" s="264"/>
      <c r="Z48" s="287"/>
      <c r="AA48" s="287"/>
      <c r="AB48" s="264"/>
      <c r="AC48" s="264"/>
      <c r="AD48" s="523"/>
      <c r="AE48" s="264"/>
      <c r="AF48" s="264"/>
      <c r="AG48" s="523"/>
      <c r="AH48" s="287"/>
      <c r="AI48" s="1034"/>
      <c r="AJ48" s="264"/>
      <c r="AK48" s="264"/>
      <c r="AL48" s="11"/>
      <c r="AM48" s="283"/>
      <c r="AN48" s="405"/>
    </row>
    <row r="49" spans="1:40" ht="15" customHeight="1">
      <c r="A49" s="291"/>
      <c r="B49" s="350" t="s">
        <v>485</v>
      </c>
      <c r="C49" s="291"/>
      <c r="D49" s="287">
        <f>'Exhibit G State'!D49</f>
        <v>0</v>
      </c>
      <c r="E49" s="287"/>
      <c r="F49" s="287">
        <f>'Exhibit G State'!F49+'Exhibit G Federal'!F26</f>
        <v>0</v>
      </c>
      <c r="G49" s="287"/>
      <c r="H49" s="287">
        <f>'Exhibit G State'!H49</f>
        <v>0.1</v>
      </c>
      <c r="J49" s="287"/>
      <c r="L49" s="287"/>
      <c r="N49" s="287"/>
      <c r="P49" s="287"/>
      <c r="R49" s="287"/>
      <c r="S49" s="287"/>
      <c r="T49" s="287"/>
      <c r="U49" s="287"/>
      <c r="V49" s="287"/>
      <c r="W49" s="287"/>
      <c r="X49" s="287"/>
      <c r="Y49" s="287"/>
      <c r="Z49" s="287"/>
      <c r="AA49" s="287"/>
      <c r="AB49" s="264">
        <v>0</v>
      </c>
      <c r="AC49" s="264"/>
      <c r="AD49" s="523"/>
      <c r="AE49" s="264">
        <f>ROUND(SUM(D49:Z49),1)</f>
        <v>0.1</v>
      </c>
      <c r="AF49" s="264"/>
      <c r="AG49" s="523"/>
      <c r="AH49" s="287">
        <f>'Exhibit G State'!AF49</f>
        <v>2.4</v>
      </c>
      <c r="AI49" s="1034"/>
      <c r="AJ49" s="264"/>
      <c r="AK49" s="264">
        <f>ROUND(SUM(+AE49-AH49),1)</f>
        <v>-2.2999999999999998</v>
      </c>
      <c r="AL49" s="11"/>
      <c r="AM49" s="266">
        <f>ROUND(IF(AH49=0,0,AK49/ABS(AH49)),3)</f>
        <v>-0.95799999999999996</v>
      </c>
      <c r="AN49" s="405"/>
    </row>
    <row r="50" spans="1:40" ht="15" customHeight="1">
      <c r="A50" s="291"/>
      <c r="B50" s="350" t="s">
        <v>1405</v>
      </c>
      <c r="C50" s="291"/>
      <c r="D50" s="287">
        <f>'Exhibit G State'!D50+'Exhibit G Federal'!D26</f>
        <v>53.4</v>
      </c>
      <c r="E50" s="287"/>
      <c r="F50" s="287">
        <f>'Exhibit G State'!F50+'Exhibit G Federal'!F27</f>
        <v>41.9</v>
      </c>
      <c r="G50" s="287"/>
      <c r="H50" s="287">
        <f>'Exhibit G State'!H50+'Exhibit G Federal'!H26</f>
        <v>105.5</v>
      </c>
      <c r="J50" s="287"/>
      <c r="L50" s="287"/>
      <c r="N50" s="287"/>
      <c r="P50" s="287"/>
      <c r="R50" s="287"/>
      <c r="S50" s="287"/>
      <c r="T50" s="287"/>
      <c r="U50" s="287"/>
      <c r="V50" s="287"/>
      <c r="W50" s="287"/>
      <c r="X50" s="287"/>
      <c r="Y50" s="287"/>
      <c r="Z50" s="287"/>
      <c r="AA50" s="287"/>
      <c r="AB50" s="264">
        <v>0</v>
      </c>
      <c r="AC50" s="264"/>
      <c r="AD50" s="523"/>
      <c r="AE50" s="264">
        <f t="shared" si="7"/>
        <v>200.8</v>
      </c>
      <c r="AF50" s="264"/>
      <c r="AG50" s="523"/>
      <c r="AH50" s="287">
        <f>'Exhibit G State'!AF50+'Exhibit G Federal'!AF26</f>
        <v>175.1</v>
      </c>
      <c r="AI50" s="1034"/>
      <c r="AJ50" s="264"/>
      <c r="AK50" s="264">
        <f t="shared" ref="AK50:AK55" si="8">ROUND(SUM(+AE50-AH50),1)</f>
        <v>25.7</v>
      </c>
      <c r="AL50" s="11"/>
      <c r="AM50" s="266">
        <f t="shared" ref="AM50:AM55" si="9">ROUND(IF(AH50=0,0,AK50/ABS(AH50)),3)</f>
        <v>0.14699999999999999</v>
      </c>
      <c r="AN50" s="405"/>
    </row>
    <row r="51" spans="1:40" ht="15" customHeight="1">
      <c r="A51" s="291"/>
      <c r="B51" s="350" t="s">
        <v>487</v>
      </c>
      <c r="C51" s="291"/>
      <c r="D51" s="287">
        <f>'Exhibit G State'!D51+'Exhibit G Federal'!D27</f>
        <v>3.9</v>
      </c>
      <c r="E51" s="287"/>
      <c r="F51" s="287">
        <f>'Exhibit G State'!F51+'Exhibit G Federal'!F28</f>
        <v>3.8000000000000003</v>
      </c>
      <c r="G51" s="287"/>
      <c r="H51" s="287">
        <f>'Exhibit G State'!H51+'Exhibit G Federal'!H27</f>
        <v>4.9999999999999982</v>
      </c>
      <c r="J51" s="287"/>
      <c r="L51" s="287"/>
      <c r="N51" s="287"/>
      <c r="P51" s="287"/>
      <c r="R51" s="287"/>
      <c r="S51" s="287"/>
      <c r="T51" s="287"/>
      <c r="U51" s="287"/>
      <c r="V51" s="287"/>
      <c r="W51" s="287"/>
      <c r="X51" s="287"/>
      <c r="Y51" s="287"/>
      <c r="Z51" s="287"/>
      <c r="AA51" s="287"/>
      <c r="AB51" s="264">
        <v>0</v>
      </c>
      <c r="AC51" s="264"/>
      <c r="AD51" s="523"/>
      <c r="AE51" s="264">
        <f t="shared" si="7"/>
        <v>12.7</v>
      </c>
      <c r="AF51" s="264"/>
      <c r="AG51" s="523"/>
      <c r="AH51" s="287">
        <f>'Exhibit G State'!AF51+'Exhibit G Federal'!AF27</f>
        <v>13.9</v>
      </c>
      <c r="AI51" s="1034"/>
      <c r="AJ51" s="264"/>
      <c r="AK51" s="264">
        <f t="shared" si="8"/>
        <v>-1.2</v>
      </c>
      <c r="AL51" s="11"/>
      <c r="AM51" s="266">
        <f t="shared" si="9"/>
        <v>-8.5999999999999993E-2</v>
      </c>
      <c r="AN51" s="405"/>
    </row>
    <row r="52" spans="1:40" ht="15" customHeight="1">
      <c r="A52" s="291"/>
      <c r="B52" s="350" t="s">
        <v>488</v>
      </c>
      <c r="C52" s="291"/>
      <c r="D52" s="287">
        <f>'Exhibit G State'!D52+'Exhibit G Federal'!D28</f>
        <v>0</v>
      </c>
      <c r="E52" s="287"/>
      <c r="F52" s="287">
        <f>'Exhibit G State'!F52+'Exhibit G Federal'!F29</f>
        <v>0.7</v>
      </c>
      <c r="G52" s="287"/>
      <c r="H52" s="287">
        <f>'Exhibit G State'!H52+'Exhibit G Federal'!H28</f>
        <v>0</v>
      </c>
      <c r="J52" s="287"/>
      <c r="L52" s="287"/>
      <c r="N52" s="287"/>
      <c r="P52" s="287"/>
      <c r="R52" s="287"/>
      <c r="S52" s="287"/>
      <c r="T52" s="287"/>
      <c r="U52" s="287"/>
      <c r="V52" s="287"/>
      <c r="W52" s="287"/>
      <c r="X52" s="287"/>
      <c r="Y52" s="287"/>
      <c r="Z52" s="287"/>
      <c r="AA52" s="287"/>
      <c r="AB52" s="264">
        <v>0</v>
      </c>
      <c r="AC52" s="264"/>
      <c r="AD52" s="523"/>
      <c r="AE52" s="264">
        <f>ROUND(SUM(D52:Z52),1)</f>
        <v>0.7</v>
      </c>
      <c r="AF52" s="264"/>
      <c r="AG52" s="523"/>
      <c r="AH52" s="287">
        <f>'Exhibit G State'!AF52+'Exhibit G Federal'!AF28</f>
        <v>1</v>
      </c>
      <c r="AI52" s="1034"/>
      <c r="AJ52" s="264"/>
      <c r="AK52" s="264">
        <f t="shared" si="8"/>
        <v>-0.3</v>
      </c>
      <c r="AL52" s="11"/>
      <c r="AM52" s="266">
        <f>ROUND(IF(AH52=0,0,AK52/ABS(AH52)),3)</f>
        <v>-0.3</v>
      </c>
      <c r="AN52" s="405"/>
    </row>
    <row r="53" spans="1:40" ht="15" customHeight="1">
      <c r="A53" s="291"/>
      <c r="B53" s="350" t="s">
        <v>1406</v>
      </c>
      <c r="C53" s="291"/>
      <c r="D53" s="287">
        <f>'Exhibit G State'!D53+'Exhibit G Federal'!D29</f>
        <v>14.1</v>
      </c>
      <c r="E53" s="287"/>
      <c r="F53" s="287">
        <f>'Exhibit G State'!F53+'Exhibit G Federal'!F30</f>
        <v>17.899999999999999</v>
      </c>
      <c r="G53" s="287"/>
      <c r="H53" s="287">
        <f>'Exhibit G State'!H53+'Exhibit G Federal'!H29</f>
        <v>24.1</v>
      </c>
      <c r="J53" s="287"/>
      <c r="L53" s="287"/>
      <c r="N53" s="287"/>
      <c r="P53" s="287"/>
      <c r="R53" s="287"/>
      <c r="S53" s="287"/>
      <c r="T53" s="287"/>
      <c r="U53" s="287"/>
      <c r="V53" s="287"/>
      <c r="W53" s="287"/>
      <c r="X53" s="287"/>
      <c r="Y53" s="287"/>
      <c r="Z53" s="287"/>
      <c r="AA53" s="287"/>
      <c r="AB53" s="264">
        <v>0</v>
      </c>
      <c r="AC53" s="264"/>
      <c r="AD53" s="523"/>
      <c r="AE53" s="264">
        <f t="shared" si="7"/>
        <v>56.1</v>
      </c>
      <c r="AF53" s="264"/>
      <c r="AG53" s="523"/>
      <c r="AH53" s="287">
        <f>'Exhibit G State'!AF53+'Exhibit G Federal'!AF29</f>
        <v>93.6</v>
      </c>
      <c r="AI53" s="1034"/>
      <c r="AJ53" s="264"/>
      <c r="AK53" s="264">
        <f t="shared" si="8"/>
        <v>-37.5</v>
      </c>
      <c r="AL53" s="11"/>
      <c r="AM53" s="266">
        <f t="shared" si="9"/>
        <v>-0.40100000000000002</v>
      </c>
      <c r="AN53" s="405"/>
    </row>
    <row r="54" spans="1:40" ht="15" customHeight="1">
      <c r="A54" s="291"/>
      <c r="B54" s="350" t="s">
        <v>1407</v>
      </c>
      <c r="C54" s="291"/>
      <c r="D54" s="287">
        <f>'Exhibit G State'!D54+'Exhibit G Federal'!D30</f>
        <v>91</v>
      </c>
      <c r="E54" s="287"/>
      <c r="F54" s="287">
        <f>'Exhibit G State'!F54+'Exhibit G Federal'!F30</f>
        <v>78.599999999999994</v>
      </c>
      <c r="G54" s="287"/>
      <c r="H54" s="287">
        <f>'Exhibit G State'!H54+'Exhibit G Federal'!H30</f>
        <v>65.599999999999994</v>
      </c>
      <c r="J54" s="287"/>
      <c r="L54" s="287"/>
      <c r="N54" s="287"/>
      <c r="P54" s="287"/>
      <c r="R54" s="287"/>
      <c r="S54" s="287"/>
      <c r="T54" s="287"/>
      <c r="U54" s="287"/>
      <c r="V54" s="287"/>
      <c r="W54" s="287"/>
      <c r="X54" s="287"/>
      <c r="Y54" s="287"/>
      <c r="Z54" s="287"/>
      <c r="AA54" s="287"/>
      <c r="AB54" s="264">
        <v>0</v>
      </c>
      <c r="AC54" s="264"/>
      <c r="AD54" s="523"/>
      <c r="AE54" s="264">
        <f t="shared" si="7"/>
        <v>235.2</v>
      </c>
      <c r="AF54" s="264"/>
      <c r="AG54" s="523"/>
      <c r="AH54" s="287">
        <f>'Exhibit G State'!AF54+'Exhibit G Federal'!AF30</f>
        <v>198.1</v>
      </c>
      <c r="AI54" s="1034"/>
      <c r="AJ54" s="264"/>
      <c r="AK54" s="264">
        <f t="shared" si="8"/>
        <v>37.1</v>
      </c>
      <c r="AL54" s="11"/>
      <c r="AM54" s="266">
        <f t="shared" si="9"/>
        <v>0.187</v>
      </c>
      <c r="AN54" s="405"/>
    </row>
    <row r="55" spans="1:40" ht="15" customHeight="1">
      <c r="A55" s="291"/>
      <c r="B55" s="350" t="s">
        <v>1408</v>
      </c>
      <c r="C55" s="291"/>
      <c r="D55" s="287">
        <f>'Exhibit G State'!D55+'Exhibit G Federal'!D31</f>
        <v>45.099999999999994</v>
      </c>
      <c r="E55" s="287"/>
      <c r="F55" s="287">
        <f>'Exhibit G State'!F55+'Exhibit G Federal'!F31</f>
        <v>7.5000000000000053</v>
      </c>
      <c r="G55" s="287"/>
      <c r="H55" s="287">
        <f>'Exhibit G State'!H55+'Exhibit G Federal'!H31</f>
        <v>4.9999999999999956</v>
      </c>
      <c r="J55" s="287"/>
      <c r="L55" s="287"/>
      <c r="N55" s="287"/>
      <c r="P55" s="287"/>
      <c r="R55" s="287"/>
      <c r="S55" s="287"/>
      <c r="T55" s="287"/>
      <c r="U55" s="287"/>
      <c r="V55" s="287"/>
      <c r="W55" s="287"/>
      <c r="X55" s="287"/>
      <c r="Y55" s="287"/>
      <c r="Z55" s="287"/>
      <c r="AA55" s="287"/>
      <c r="AB55" s="264">
        <v>0</v>
      </c>
      <c r="AC55" s="264"/>
      <c r="AD55" s="523"/>
      <c r="AE55" s="264">
        <f>ROUND(SUM(D55:Z55),1)</f>
        <v>57.6</v>
      </c>
      <c r="AF55" s="264"/>
      <c r="AG55" s="523"/>
      <c r="AH55" s="287">
        <f>'Exhibit G State'!AF55+'Exhibit G Federal'!AF31</f>
        <v>67.7</v>
      </c>
      <c r="AI55" s="1034"/>
      <c r="AJ55" s="264"/>
      <c r="AK55" s="264">
        <f t="shared" si="8"/>
        <v>-10.1</v>
      </c>
      <c r="AL55" s="11"/>
      <c r="AM55" s="542">
        <f t="shared" si="9"/>
        <v>-0.14899999999999999</v>
      </c>
      <c r="AN55" s="405"/>
    </row>
    <row r="56" spans="1:40" ht="15" customHeight="1">
      <c r="A56" s="291"/>
      <c r="B56" s="350" t="s">
        <v>401</v>
      </c>
      <c r="C56" s="291"/>
      <c r="D56" s="287"/>
      <c r="E56" s="287"/>
      <c r="F56" s="287"/>
      <c r="G56" s="287"/>
      <c r="H56" s="287"/>
      <c r="J56" s="287"/>
      <c r="L56" s="287"/>
      <c r="N56" s="287"/>
      <c r="P56" s="287"/>
      <c r="R56" s="287"/>
      <c r="S56" s="287"/>
      <c r="T56" s="287"/>
      <c r="U56" s="287"/>
      <c r="V56" s="287"/>
      <c r="W56" s="287"/>
      <c r="X56" s="287"/>
      <c r="Y56" s="287"/>
      <c r="Z56" s="287"/>
      <c r="AA56" s="287"/>
      <c r="AB56" s="264"/>
      <c r="AC56" s="264"/>
      <c r="AD56" s="523"/>
      <c r="AE56" s="264"/>
      <c r="AF56" s="264"/>
      <c r="AG56" s="523"/>
      <c r="AH56" s="287"/>
      <c r="AI56" s="1034"/>
      <c r="AJ56" s="264"/>
      <c r="AK56" s="264"/>
      <c r="AL56" s="11"/>
      <c r="AM56" s="283"/>
      <c r="AN56" s="405"/>
    </row>
    <row r="57" spans="1:40" ht="15" customHeight="1">
      <c r="A57" s="291"/>
      <c r="B57" s="350" t="s">
        <v>491</v>
      </c>
      <c r="C57" s="291"/>
      <c r="D57" s="287">
        <f>'Exhibit G State'!D57</f>
        <v>57.6</v>
      </c>
      <c r="E57" s="287"/>
      <c r="F57" s="287">
        <f>'Exhibit G State'!F57+'Exhibit G Federal'!F34</f>
        <v>56.999999999999993</v>
      </c>
      <c r="G57" s="287"/>
      <c r="H57" s="287">
        <f>'Exhibit G State'!H57</f>
        <v>25.999999999999993</v>
      </c>
      <c r="J57" s="287"/>
      <c r="L57" s="287"/>
      <c r="N57" s="287"/>
      <c r="P57" s="287"/>
      <c r="R57" s="287"/>
      <c r="S57" s="287"/>
      <c r="T57" s="287"/>
      <c r="U57" s="287"/>
      <c r="V57" s="287"/>
      <c r="W57" s="287"/>
      <c r="X57" s="287"/>
      <c r="Y57" s="287"/>
      <c r="Z57" s="287"/>
      <c r="AA57" s="287"/>
      <c r="AB57" s="264">
        <v>0</v>
      </c>
      <c r="AC57" s="264"/>
      <c r="AD57" s="523"/>
      <c r="AE57" s="264">
        <f t="shared" si="7"/>
        <v>140.6</v>
      </c>
      <c r="AF57" s="264"/>
      <c r="AG57" s="523"/>
      <c r="AH57" s="287">
        <f>'Exhibit G State'!AF57</f>
        <v>75.7</v>
      </c>
      <c r="AI57" s="1034"/>
      <c r="AJ57" s="264"/>
      <c r="AK57" s="264">
        <f t="shared" ref="AK57:AK62" si="10">ROUND(SUM(+AE57-AH57),1)</f>
        <v>64.900000000000006</v>
      </c>
      <c r="AL57" s="11"/>
      <c r="AM57" s="542">
        <f>ROUND(IF(AH57=0,1,AK57/ABS(AH57)),3)</f>
        <v>0.85699999999999998</v>
      </c>
      <c r="AN57" s="405"/>
    </row>
    <row r="58" spans="1:40" ht="15" customHeight="1">
      <c r="A58" s="291"/>
      <c r="B58" s="350" t="s">
        <v>492</v>
      </c>
      <c r="C58" s="291"/>
      <c r="D58" s="287">
        <f>'Exhibit G State'!D58</f>
        <v>218.6</v>
      </c>
      <c r="E58" s="287"/>
      <c r="F58" s="287">
        <f>'Exhibit G State'!F58+'Exhibit G Federal'!F35</f>
        <v>177.9</v>
      </c>
      <c r="G58" s="287"/>
      <c r="H58" s="287">
        <f>'Exhibit G State'!H58</f>
        <v>175.79999999999998</v>
      </c>
      <c r="J58" s="287"/>
      <c r="L58" s="287"/>
      <c r="N58" s="287"/>
      <c r="P58" s="287"/>
      <c r="R58" s="287"/>
      <c r="S58" s="287"/>
      <c r="T58" s="287"/>
      <c r="U58" s="287"/>
      <c r="V58" s="287"/>
      <c r="W58" s="287"/>
      <c r="X58" s="287"/>
      <c r="Y58" s="287"/>
      <c r="Z58" s="287"/>
      <c r="AA58" s="287"/>
      <c r="AB58" s="264">
        <v>0</v>
      </c>
      <c r="AC58" s="264"/>
      <c r="AD58" s="523"/>
      <c r="AE58" s="264">
        <f t="shared" si="7"/>
        <v>572.29999999999995</v>
      </c>
      <c r="AF58" s="264"/>
      <c r="AG58" s="523"/>
      <c r="AH58" s="287">
        <f>'Exhibit G State'!AF58</f>
        <v>575</v>
      </c>
      <c r="AI58" s="1034"/>
      <c r="AJ58" s="264"/>
      <c r="AK58" s="264">
        <f t="shared" si="10"/>
        <v>-2.7</v>
      </c>
      <c r="AL58" s="11"/>
      <c r="AM58" s="266">
        <f>ROUND(IF(AH58=0,0,AK58/ABS(AH58)),3)</f>
        <v>-5.0000000000000001E-3</v>
      </c>
      <c r="AN58" s="405"/>
    </row>
    <row r="59" spans="1:40" ht="15" customHeight="1">
      <c r="A59" s="291"/>
      <c r="B59" s="350" t="s">
        <v>448</v>
      </c>
      <c r="C59" s="291"/>
      <c r="D59" s="287">
        <f>'Exhibit G State'!D59</f>
        <v>117.4</v>
      </c>
      <c r="E59" s="287"/>
      <c r="F59" s="287">
        <f>'Exhibit G State'!F59+'Exhibit G Federal'!F36</f>
        <v>109.79999999999998</v>
      </c>
      <c r="G59" s="287"/>
      <c r="H59" s="287">
        <f>'Exhibit G State'!H59</f>
        <v>39</v>
      </c>
      <c r="J59" s="287"/>
      <c r="L59" s="287"/>
      <c r="N59" s="287"/>
      <c r="P59" s="287"/>
      <c r="R59" s="287"/>
      <c r="S59" s="287"/>
      <c r="T59" s="287"/>
      <c r="U59" s="287"/>
      <c r="V59" s="287"/>
      <c r="W59" s="287"/>
      <c r="X59" s="287"/>
      <c r="Y59" s="287"/>
      <c r="Z59" s="287"/>
      <c r="AA59" s="287"/>
      <c r="AB59" s="264">
        <v>0</v>
      </c>
      <c r="AC59" s="264"/>
      <c r="AD59" s="523"/>
      <c r="AE59" s="264">
        <f t="shared" si="7"/>
        <v>266.2</v>
      </c>
      <c r="AF59" s="264"/>
      <c r="AG59" s="523"/>
      <c r="AH59" s="287">
        <f>'Exhibit G State'!AF59</f>
        <v>304.8</v>
      </c>
      <c r="AI59" s="1034"/>
      <c r="AJ59" s="264"/>
      <c r="AK59" s="264">
        <f t="shared" si="10"/>
        <v>-38.6</v>
      </c>
      <c r="AL59" s="11"/>
      <c r="AM59" s="266">
        <f>ROUND(IF(AH59=0,1,AK59/ABS(AH59)),3)</f>
        <v>-0.127</v>
      </c>
      <c r="AN59" s="405"/>
    </row>
    <row r="60" spans="1:40" ht="15" customHeight="1">
      <c r="A60" s="291"/>
      <c r="B60" s="350" t="s">
        <v>493</v>
      </c>
      <c r="C60" s="291"/>
      <c r="D60" s="287">
        <f>'Exhibit G State'!D60</f>
        <v>103</v>
      </c>
      <c r="E60" s="287"/>
      <c r="F60" s="287">
        <f>'Exhibit G State'!F60+'Exhibit G Federal'!F37</f>
        <v>47.400000000000006</v>
      </c>
      <c r="G60" s="287"/>
      <c r="H60" s="287">
        <f>'Exhibit G State'!H60</f>
        <v>48.299999999999983</v>
      </c>
      <c r="J60" s="287"/>
      <c r="L60" s="287"/>
      <c r="N60" s="287"/>
      <c r="P60" s="287"/>
      <c r="R60" s="287"/>
      <c r="S60" s="287"/>
      <c r="T60" s="287"/>
      <c r="U60" s="287"/>
      <c r="V60" s="287"/>
      <c r="W60" s="287"/>
      <c r="X60" s="287"/>
      <c r="Y60" s="287"/>
      <c r="Z60" s="287"/>
      <c r="AA60" s="287"/>
      <c r="AB60" s="264">
        <v>0</v>
      </c>
      <c r="AC60" s="264"/>
      <c r="AD60" s="523"/>
      <c r="AE60" s="264">
        <f t="shared" si="7"/>
        <v>198.7</v>
      </c>
      <c r="AF60" s="264"/>
      <c r="AG60" s="523"/>
      <c r="AH60" s="287">
        <f>'Exhibit G State'!AF60</f>
        <v>256.89999999999998</v>
      </c>
      <c r="AI60" s="1034"/>
      <c r="AJ60" s="264"/>
      <c r="AK60" s="264">
        <f t="shared" si="10"/>
        <v>-58.2</v>
      </c>
      <c r="AL60" s="11"/>
      <c r="AM60" s="542">
        <f>ROUND(IF(AH60=0,1,AK60/ABS(AH60)),3)</f>
        <v>-0.22700000000000001</v>
      </c>
      <c r="AN60" s="405"/>
    </row>
    <row r="61" spans="1:40" ht="15" customHeight="1">
      <c r="A61" s="291"/>
      <c r="B61" s="350" t="s">
        <v>406</v>
      </c>
      <c r="C61" s="291"/>
      <c r="D61" s="287">
        <f>'Exhibit G State'!D61+'Exhibit G Federal'!D32</f>
        <v>93.5</v>
      </c>
      <c r="E61" s="287"/>
      <c r="F61" s="287">
        <f>'Exhibit G State'!F61+'Exhibit G Federal'!F32</f>
        <v>87.4</v>
      </c>
      <c r="G61" s="287"/>
      <c r="H61" s="287">
        <f>'Exhibit G State'!H61+'Exhibit G Federal'!H32</f>
        <v>103.4</v>
      </c>
      <c r="J61" s="287"/>
      <c r="L61" s="287"/>
      <c r="N61" s="287"/>
      <c r="P61" s="287"/>
      <c r="R61" s="287"/>
      <c r="S61" s="287"/>
      <c r="T61" s="287"/>
      <c r="U61" s="287"/>
      <c r="V61" s="287"/>
      <c r="W61" s="287"/>
      <c r="X61" s="287"/>
      <c r="Y61" s="287"/>
      <c r="Z61" s="287"/>
      <c r="AA61" s="287"/>
      <c r="AB61" s="264">
        <v>0</v>
      </c>
      <c r="AC61" s="264"/>
      <c r="AD61" s="523"/>
      <c r="AE61" s="264">
        <f>ROUND(SUM(D61:Z61),1)</f>
        <v>284.3</v>
      </c>
      <c r="AF61" s="264"/>
      <c r="AG61" s="523"/>
      <c r="AH61" s="287">
        <f>'Exhibit G State'!AF61+'Exhibit G Federal'!AF32</f>
        <v>291.5</v>
      </c>
      <c r="AI61" s="1034"/>
      <c r="AJ61" s="264"/>
      <c r="AK61" s="264">
        <f t="shared" si="10"/>
        <v>-7.2</v>
      </c>
      <c r="AL61" s="11"/>
      <c r="AM61" s="542">
        <f>ROUND(IF(AH61=0,0,AK61/ABS(AH61)),3)</f>
        <v>-2.5000000000000001E-2</v>
      </c>
      <c r="AN61" s="405"/>
    </row>
    <row r="62" spans="1:40" ht="15" customHeight="1">
      <c r="A62" s="291"/>
      <c r="B62" s="350" t="s">
        <v>1409</v>
      </c>
      <c r="C62" s="291"/>
      <c r="D62" s="287">
        <f>'Exhibit G State'!D62+'Exhibit G Federal'!D33</f>
        <v>7.3</v>
      </c>
      <c r="E62" s="287"/>
      <c r="F62" s="287">
        <f>'Exhibit G State'!F62+'Exhibit G Federal'!F39</f>
        <v>0.60000000000000053</v>
      </c>
      <c r="G62" s="287"/>
      <c r="H62" s="287">
        <f>'Exhibit G State'!H62+'Exhibit G Federal'!H33</f>
        <v>8</v>
      </c>
      <c r="J62" s="287"/>
      <c r="L62" s="287"/>
      <c r="N62" s="287"/>
      <c r="P62" s="287"/>
      <c r="R62" s="287"/>
      <c r="S62" s="287"/>
      <c r="T62" s="287"/>
      <c r="U62" s="287"/>
      <c r="V62" s="287"/>
      <c r="W62" s="287"/>
      <c r="X62" s="287"/>
      <c r="Y62" s="287"/>
      <c r="Z62" s="287"/>
      <c r="AA62" s="287"/>
      <c r="AB62" s="264">
        <v>0</v>
      </c>
      <c r="AC62" s="264"/>
      <c r="AD62" s="523"/>
      <c r="AE62" s="264">
        <f>ROUND(SUM(D62:Z62),1)</f>
        <v>15.9</v>
      </c>
      <c r="AF62" s="264"/>
      <c r="AG62" s="523"/>
      <c r="AH62" s="287">
        <f>'Exhibit G State'!AF62+'Exhibit G Federal'!AF33</f>
        <v>13.3</v>
      </c>
      <c r="AI62" s="1034"/>
      <c r="AJ62" s="264"/>
      <c r="AK62" s="264">
        <f t="shared" si="10"/>
        <v>2.6</v>
      </c>
      <c r="AL62" s="11"/>
      <c r="AM62" s="266">
        <f>ROUND(IF(AH62=0,0,AK62/ABS(AH62)),3)</f>
        <v>0.19500000000000001</v>
      </c>
      <c r="AN62" s="405"/>
    </row>
    <row r="63" spans="1:40" ht="15" customHeight="1">
      <c r="A63" s="291"/>
      <c r="B63" s="350" t="s">
        <v>408</v>
      </c>
      <c r="C63" s="291"/>
      <c r="D63" s="287"/>
      <c r="E63" s="287"/>
      <c r="F63" s="287"/>
      <c r="G63" s="287"/>
      <c r="H63" s="287"/>
      <c r="J63" s="287"/>
      <c r="L63" s="287"/>
      <c r="N63" s="287"/>
      <c r="P63" s="287"/>
      <c r="R63" s="287"/>
      <c r="S63" s="287"/>
      <c r="T63" s="287"/>
      <c r="U63" s="287"/>
      <c r="V63" s="287"/>
      <c r="W63" s="287"/>
      <c r="X63" s="287"/>
      <c r="Y63" s="287"/>
      <c r="Z63" s="287"/>
      <c r="AA63" s="287"/>
      <c r="AB63" s="264"/>
      <c r="AC63" s="264"/>
      <c r="AD63" s="523"/>
      <c r="AE63" s="264"/>
      <c r="AF63" s="264"/>
      <c r="AG63" s="523"/>
      <c r="AH63" s="287"/>
      <c r="AI63" s="1034"/>
      <c r="AJ63" s="264"/>
      <c r="AK63" s="264"/>
      <c r="AL63" s="11"/>
      <c r="AM63" s="283"/>
      <c r="AN63" s="405"/>
    </row>
    <row r="64" spans="1:40" ht="15" customHeight="1">
      <c r="A64" s="291"/>
      <c r="B64" s="350" t="s">
        <v>494</v>
      </c>
      <c r="C64" s="291"/>
      <c r="D64" s="287">
        <f>'Exhibit G State'!D64+'Exhibit G Federal'!D35</f>
        <v>0</v>
      </c>
      <c r="E64" s="287"/>
      <c r="F64" s="287">
        <f>'Exhibit G State'!F64+'Exhibit G Federal'!F41</f>
        <v>0</v>
      </c>
      <c r="G64" s="287"/>
      <c r="H64" s="287">
        <f>'Exhibit G State'!H64+'Exhibit G Federal'!H35</f>
        <v>0</v>
      </c>
      <c r="J64" s="287"/>
      <c r="L64" s="287"/>
      <c r="N64" s="287"/>
      <c r="P64" s="287"/>
      <c r="R64" s="287"/>
      <c r="S64" s="287"/>
      <c r="T64" s="287"/>
      <c r="U64" s="287"/>
      <c r="V64" s="287"/>
      <c r="W64" s="287"/>
      <c r="X64" s="287"/>
      <c r="Y64" s="287"/>
      <c r="Z64" s="287"/>
      <c r="AA64" s="287"/>
      <c r="AB64" s="264">
        <v>0</v>
      </c>
      <c r="AC64" s="264"/>
      <c r="AD64" s="523"/>
      <c r="AE64" s="264">
        <f t="shared" si="7"/>
        <v>0</v>
      </c>
      <c r="AF64" s="264"/>
      <c r="AG64" s="523"/>
      <c r="AH64" s="287">
        <f>'Exhibit G State'!AF64+'Exhibit G Federal'!AF35</f>
        <v>0</v>
      </c>
      <c r="AI64" s="1034"/>
      <c r="AJ64" s="264"/>
      <c r="AK64" s="264">
        <f t="shared" ref="AK64:AK68" si="11">ROUND(SUM(+AE64-AH64),1)</f>
        <v>0</v>
      </c>
      <c r="AL64" s="11"/>
      <c r="AM64" s="266">
        <f>ROUND(IF(AH64=0,0,AK64/ABS(AH64)),3)</f>
        <v>0</v>
      </c>
      <c r="AN64" s="405"/>
    </row>
    <row r="65" spans="1:40" ht="15" customHeight="1">
      <c r="A65" s="291"/>
      <c r="B65" s="350" t="s">
        <v>495</v>
      </c>
      <c r="C65" s="291"/>
      <c r="D65" s="287">
        <f>'Exhibit G State'!D65+'Exhibit G Federal'!D36</f>
        <v>0.4</v>
      </c>
      <c r="E65" s="287"/>
      <c r="F65" s="287">
        <f>'Exhibit G State'!F65+'Exhibit G Federal'!F42</f>
        <v>0</v>
      </c>
      <c r="G65" s="287"/>
      <c r="H65" s="287">
        <f>'Exhibit G State'!H65+'Exhibit G Federal'!H36</f>
        <v>0</v>
      </c>
      <c r="J65" s="287"/>
      <c r="L65" s="287"/>
      <c r="N65" s="287"/>
      <c r="P65" s="287"/>
      <c r="R65" s="287"/>
      <c r="S65" s="287"/>
      <c r="T65" s="287"/>
      <c r="U65" s="287"/>
      <c r="V65" s="287"/>
      <c r="W65" s="287"/>
      <c r="X65" s="287"/>
      <c r="Y65" s="287"/>
      <c r="Z65" s="287"/>
      <c r="AA65" s="287"/>
      <c r="AB65" s="264">
        <v>0</v>
      </c>
      <c r="AC65" s="264"/>
      <c r="AD65" s="523"/>
      <c r="AE65" s="264">
        <f t="shared" si="7"/>
        <v>0.4</v>
      </c>
      <c r="AF65" s="264"/>
      <c r="AG65" s="523"/>
      <c r="AH65" s="287">
        <f>'Exhibit G State'!AF65+'Exhibit G Federal'!AF36</f>
        <v>13.1</v>
      </c>
      <c r="AI65" s="1034"/>
      <c r="AJ65" s="264"/>
      <c r="AK65" s="264">
        <f t="shared" si="11"/>
        <v>-12.7</v>
      </c>
      <c r="AL65" s="11"/>
      <c r="AM65" s="542">
        <f>ROUND(IF(AH65=0,1,AK65/ABS(AH65)),3)</f>
        <v>-0.96899999999999997</v>
      </c>
      <c r="AN65" s="405"/>
    </row>
    <row r="66" spans="1:40" ht="15" customHeight="1">
      <c r="A66" s="291"/>
      <c r="B66" s="350" t="s">
        <v>1410</v>
      </c>
      <c r="C66" s="291"/>
      <c r="D66" s="287">
        <f>'Exhibit G State'!D66+'Exhibit G Federal'!D37</f>
        <v>0</v>
      </c>
      <c r="E66" s="287"/>
      <c r="F66" s="287">
        <f>'Exhibit G State'!F66+'Exhibit G Federal'!F43</f>
        <v>1.2</v>
      </c>
      <c r="G66" s="287"/>
      <c r="H66" s="287">
        <f>'Exhibit G State'!H66+'Exhibit G Federal'!H37</f>
        <v>0.30000000000000004</v>
      </c>
      <c r="J66" s="287"/>
      <c r="L66" s="287"/>
      <c r="N66" s="287"/>
      <c r="P66" s="287"/>
      <c r="R66" s="287"/>
      <c r="S66" s="287"/>
      <c r="T66" s="287"/>
      <c r="U66" s="287"/>
      <c r="V66" s="287"/>
      <c r="W66" s="287"/>
      <c r="X66" s="287"/>
      <c r="Y66" s="287"/>
      <c r="Z66" s="287"/>
      <c r="AA66" s="287"/>
      <c r="AB66" s="264">
        <v>0</v>
      </c>
      <c r="AC66" s="264"/>
      <c r="AD66" s="523"/>
      <c r="AE66" s="264">
        <f t="shared" si="7"/>
        <v>1.5</v>
      </c>
      <c r="AF66" s="264"/>
      <c r="AG66" s="523"/>
      <c r="AH66" s="287">
        <f>'Exhibit G State'!AF66+'Exhibit G Federal'!AF37</f>
        <v>2.4</v>
      </c>
      <c r="AI66" s="1034"/>
      <c r="AJ66" s="264"/>
      <c r="AK66" s="264">
        <f t="shared" si="11"/>
        <v>-0.9</v>
      </c>
      <c r="AL66" s="11"/>
      <c r="AM66" s="542">
        <f t="shared" ref="AM66:AM68" si="12">ROUND(IF(AH66=0,0,AK66/ABS(AH66)),3)</f>
        <v>-0.375</v>
      </c>
      <c r="AN66" s="405"/>
    </row>
    <row r="67" spans="1:40" ht="15" customHeight="1">
      <c r="A67" s="291"/>
      <c r="B67" s="350" t="s">
        <v>497</v>
      </c>
      <c r="C67" s="291"/>
      <c r="D67" s="287">
        <f>'Exhibit G State'!D67+'Exhibit G Federal'!D38</f>
        <v>4.7</v>
      </c>
      <c r="E67" s="287"/>
      <c r="F67" s="287">
        <f>'Exhibit G State'!F67+'Exhibit G Federal'!F44</f>
        <v>4.4999999999999991</v>
      </c>
      <c r="G67" s="287"/>
      <c r="H67" s="287">
        <f>'Exhibit G State'!H67+'Exhibit G Federal'!H38</f>
        <v>4.4999999999999991</v>
      </c>
      <c r="J67" s="287"/>
      <c r="L67" s="287"/>
      <c r="N67" s="287"/>
      <c r="P67" s="287"/>
      <c r="R67" s="287"/>
      <c r="S67" s="287"/>
      <c r="T67" s="287"/>
      <c r="U67" s="287"/>
      <c r="V67" s="287"/>
      <c r="W67" s="287"/>
      <c r="X67" s="287"/>
      <c r="Y67" s="287"/>
      <c r="Z67" s="287"/>
      <c r="AA67" s="287"/>
      <c r="AB67" s="264">
        <v>0</v>
      </c>
      <c r="AC67" s="264"/>
      <c r="AD67" s="523"/>
      <c r="AE67" s="264">
        <f t="shared" si="7"/>
        <v>13.7</v>
      </c>
      <c r="AF67" s="264"/>
      <c r="AG67" s="523"/>
      <c r="AH67" s="287">
        <f>'Exhibit G State'!AF67+'Exhibit G Federal'!AF38</f>
        <v>11.6</v>
      </c>
      <c r="AI67" s="1034"/>
      <c r="AJ67" s="264"/>
      <c r="AK67" s="264">
        <f t="shared" si="11"/>
        <v>2.1</v>
      </c>
      <c r="AL67" s="11"/>
      <c r="AM67" s="542">
        <f t="shared" si="12"/>
        <v>0.18099999999999999</v>
      </c>
      <c r="AN67" s="405"/>
    </row>
    <row r="68" spans="1:40" ht="15" customHeight="1">
      <c r="A68" s="291"/>
      <c r="B68" s="350" t="s">
        <v>413</v>
      </c>
      <c r="C68" s="291"/>
      <c r="D68" s="287">
        <f>'Exhibit G State'!D68+'Exhibit G Federal'!D39</f>
        <v>59.6</v>
      </c>
      <c r="E68" s="287"/>
      <c r="F68" s="287">
        <f>'Exhibit G State'!F68+'Exhibit G Federal'!F45</f>
        <v>24.4</v>
      </c>
      <c r="G68" s="287"/>
      <c r="H68" s="287">
        <f>'Exhibit G State'!H68+'Exhibit G Federal'!H39</f>
        <v>0.5</v>
      </c>
      <c r="J68" s="287"/>
      <c r="L68" s="287"/>
      <c r="N68" s="287"/>
      <c r="P68" s="287"/>
      <c r="R68" s="287"/>
      <c r="S68" s="287"/>
      <c r="T68" s="287"/>
      <c r="U68" s="287"/>
      <c r="V68" s="287"/>
      <c r="W68" s="287"/>
      <c r="X68" s="287"/>
      <c r="Y68" s="287"/>
      <c r="Z68" s="287"/>
      <c r="AA68" s="287"/>
      <c r="AB68" s="264">
        <v>0</v>
      </c>
      <c r="AC68" s="264"/>
      <c r="AD68" s="523"/>
      <c r="AE68" s="264">
        <f t="shared" si="7"/>
        <v>84.5</v>
      </c>
      <c r="AF68" s="264"/>
      <c r="AG68" s="523"/>
      <c r="AH68" s="287">
        <f>'Exhibit G State'!AF68+'Exhibit G Federal'!AF39</f>
        <v>88.5</v>
      </c>
      <c r="AI68" s="1034"/>
      <c r="AJ68" s="264"/>
      <c r="AK68" s="264">
        <f t="shared" si="11"/>
        <v>-4</v>
      </c>
      <c r="AL68" s="11"/>
      <c r="AM68" s="542">
        <f t="shared" si="12"/>
        <v>-4.4999999999999998E-2</v>
      </c>
      <c r="AN68" s="405"/>
    </row>
    <row r="69" spans="1:40" ht="15" customHeight="1">
      <c r="A69" s="291"/>
      <c r="B69" s="350" t="s">
        <v>414</v>
      </c>
      <c r="C69" s="291"/>
      <c r="D69" s="287"/>
      <c r="E69" s="287"/>
      <c r="F69" s="287"/>
      <c r="G69" s="287"/>
      <c r="H69" s="287"/>
      <c r="J69" s="287"/>
      <c r="L69" s="287"/>
      <c r="N69" s="287"/>
      <c r="P69" s="287"/>
      <c r="R69" s="287"/>
      <c r="S69" s="287"/>
      <c r="T69" s="287"/>
      <c r="U69" s="287"/>
      <c r="V69" s="287"/>
      <c r="W69" s="287"/>
      <c r="X69" s="287"/>
      <c r="Y69" s="287"/>
      <c r="Z69" s="287"/>
      <c r="AA69" s="287"/>
      <c r="AB69" s="264"/>
      <c r="AC69" s="264"/>
      <c r="AD69" s="523"/>
      <c r="AE69" s="264"/>
      <c r="AF69" s="264"/>
      <c r="AG69" s="523"/>
      <c r="AH69" s="287"/>
      <c r="AI69" s="1034"/>
      <c r="AJ69" s="264"/>
      <c r="AK69" s="264"/>
      <c r="AL69" s="11"/>
      <c r="AM69" s="283"/>
      <c r="AN69" s="405"/>
    </row>
    <row r="70" spans="1:40" ht="15" customHeight="1">
      <c r="A70" s="291"/>
      <c r="B70" s="350" t="s">
        <v>1411</v>
      </c>
      <c r="C70" s="291"/>
      <c r="D70" s="287">
        <f>'Exhibit G State'!D70+'Exhibit G Federal'!D41</f>
        <v>0.3</v>
      </c>
      <c r="E70" s="287"/>
      <c r="F70" s="287">
        <f>'Exhibit G State'!F70+'Exhibit G Federal'!F47</f>
        <v>18.099999999999998</v>
      </c>
      <c r="G70" s="287"/>
      <c r="H70" s="287">
        <f>'Exhibit G State'!H70+'Exhibit G Federal'!H41</f>
        <v>27</v>
      </c>
      <c r="J70" s="287"/>
      <c r="L70" s="287"/>
      <c r="N70" s="287"/>
      <c r="P70" s="287"/>
      <c r="R70" s="287"/>
      <c r="S70" s="287"/>
      <c r="T70" s="287"/>
      <c r="U70" s="287"/>
      <c r="V70" s="287"/>
      <c r="W70" s="287"/>
      <c r="X70" s="287"/>
      <c r="Y70" s="287"/>
      <c r="Z70" s="287"/>
      <c r="AA70" s="287"/>
      <c r="AB70" s="264">
        <v>0</v>
      </c>
      <c r="AC70" s="264"/>
      <c r="AD70" s="523"/>
      <c r="AE70" s="264">
        <f t="shared" si="7"/>
        <v>45.4</v>
      </c>
      <c r="AF70" s="264"/>
      <c r="AG70" s="523"/>
      <c r="AH70" s="287">
        <f>'Exhibit G State'!AF70+'Exhibit G Federal'!AF41</f>
        <v>43.6</v>
      </c>
      <c r="AI70" s="1034"/>
      <c r="AJ70" s="264"/>
      <c r="AK70" s="264">
        <f t="shared" ref="AK70:AK80" si="13">ROUND(SUM(+AE70-AH70),1)</f>
        <v>1.8</v>
      </c>
      <c r="AL70" s="11"/>
      <c r="AM70" s="542">
        <f>ROUND(IF(AH70=0,0,AK70/ABS(AH70)),3)</f>
        <v>4.1000000000000002E-2</v>
      </c>
      <c r="AN70" s="405"/>
    </row>
    <row r="71" spans="1:40" ht="15" customHeight="1">
      <c r="A71" s="291"/>
      <c r="B71" s="350" t="s">
        <v>499</v>
      </c>
      <c r="C71" s="291"/>
      <c r="D71" s="287">
        <f>'Exhibit G State'!D71+'Exhibit G Federal'!D42</f>
        <v>1.3</v>
      </c>
      <c r="E71" s="287"/>
      <c r="F71" s="287">
        <f>'Exhibit G State'!F71+'Exhibit G Federal'!F48</f>
        <v>1.2</v>
      </c>
      <c r="G71" s="287"/>
      <c r="H71" s="287">
        <f>'Exhibit G State'!H71+'Exhibit G Federal'!H42</f>
        <v>0.69999999999999973</v>
      </c>
      <c r="J71" s="287"/>
      <c r="L71" s="287"/>
      <c r="N71" s="287"/>
      <c r="P71" s="287"/>
      <c r="R71" s="287"/>
      <c r="S71" s="287"/>
      <c r="T71" s="287"/>
      <c r="U71" s="287"/>
      <c r="V71" s="287"/>
      <c r="W71" s="287"/>
      <c r="X71" s="287"/>
      <c r="Y71" s="287"/>
      <c r="Z71" s="287"/>
      <c r="AA71" s="287"/>
      <c r="AB71" s="264">
        <v>0</v>
      </c>
      <c r="AC71" s="264"/>
      <c r="AD71" s="523"/>
      <c r="AE71" s="264">
        <f t="shared" si="7"/>
        <v>3.2</v>
      </c>
      <c r="AF71" s="264"/>
      <c r="AG71" s="523"/>
      <c r="AH71" s="287">
        <f>'Exhibit G State'!AF71+'Exhibit G Federal'!AF42</f>
        <v>0.5</v>
      </c>
      <c r="AI71" s="1034"/>
      <c r="AJ71" s="264"/>
      <c r="AK71" s="264">
        <f t="shared" si="13"/>
        <v>2.7</v>
      </c>
      <c r="AL71" s="11"/>
      <c r="AM71" s="542">
        <f>ROUND(IF(AH71=0,1,AK71/ABS(AH71)),3)</f>
        <v>5.4</v>
      </c>
      <c r="AN71" s="405"/>
    </row>
    <row r="72" spans="1:40" ht="15" customHeight="1">
      <c r="A72" s="291"/>
      <c r="B72" s="350" t="s">
        <v>1412</v>
      </c>
      <c r="C72" s="291"/>
      <c r="D72" s="287">
        <f>'Exhibit G State'!D72+'Exhibit G Federal'!D43</f>
        <v>6.5</v>
      </c>
      <c r="E72" s="287"/>
      <c r="F72" s="287">
        <f>'Exhibit G State'!F72+'Exhibit G Federal'!F49</f>
        <v>11.899999999999999</v>
      </c>
      <c r="G72" s="287"/>
      <c r="H72" s="287">
        <f>'Exhibit G State'!H72+'Exhibit G Federal'!H43</f>
        <v>2.3999999999999986</v>
      </c>
      <c r="J72" s="287"/>
      <c r="L72" s="287"/>
      <c r="N72" s="287"/>
      <c r="P72" s="287"/>
      <c r="R72" s="287"/>
      <c r="S72" s="287"/>
      <c r="T72" s="287"/>
      <c r="U72" s="287"/>
      <c r="V72" s="287"/>
      <c r="W72" s="287"/>
      <c r="X72" s="287"/>
      <c r="Y72" s="287"/>
      <c r="Z72" s="287"/>
      <c r="AA72" s="287"/>
      <c r="AB72" s="264">
        <v>0</v>
      </c>
      <c r="AC72" s="264"/>
      <c r="AD72" s="523"/>
      <c r="AE72" s="264">
        <f t="shared" si="7"/>
        <v>20.8</v>
      </c>
      <c r="AF72" s="264"/>
      <c r="AG72" s="523"/>
      <c r="AH72" s="287">
        <f>'Exhibit G State'!AF72+'Exhibit G Federal'!AF43</f>
        <v>8.6</v>
      </c>
      <c r="AI72" s="1034"/>
      <c r="AJ72" s="264"/>
      <c r="AK72" s="264">
        <f t="shared" si="13"/>
        <v>12.2</v>
      </c>
      <c r="AL72" s="11"/>
      <c r="AM72" s="542">
        <f t="shared" ref="AM72:AM75" si="14">ROUND(IF(AH72=0,0,AK72/ABS(AH72)),3)</f>
        <v>1.419</v>
      </c>
      <c r="AN72" s="405"/>
    </row>
    <row r="73" spans="1:40" ht="15" customHeight="1">
      <c r="A73" s="291"/>
      <c r="B73" s="350" t="s">
        <v>1413</v>
      </c>
      <c r="C73" s="291"/>
      <c r="D73" s="287">
        <f>'Exhibit G State'!D73+'Exhibit G Federal'!D44</f>
        <v>-0.2</v>
      </c>
      <c r="E73" s="287"/>
      <c r="F73" s="287">
        <f>'Exhibit G State'!F73+'Exhibit G Federal'!F50</f>
        <v>0.4</v>
      </c>
      <c r="G73" s="287"/>
      <c r="H73" s="287">
        <f>'Exhibit G State'!H73+'Exhibit G Federal'!H44</f>
        <v>1</v>
      </c>
      <c r="J73" s="287"/>
      <c r="L73" s="287"/>
      <c r="N73" s="287"/>
      <c r="P73" s="287"/>
      <c r="R73" s="287"/>
      <c r="S73" s="287"/>
      <c r="T73" s="287"/>
      <c r="U73" s="287"/>
      <c r="V73" s="287"/>
      <c r="W73" s="287"/>
      <c r="X73" s="287"/>
      <c r="Y73" s="287"/>
      <c r="Z73" s="287"/>
      <c r="AA73" s="287"/>
      <c r="AB73" s="264">
        <v>0</v>
      </c>
      <c r="AC73" s="264"/>
      <c r="AD73" s="523"/>
      <c r="AE73" s="264">
        <f t="shared" si="7"/>
        <v>1.2</v>
      </c>
      <c r="AF73" s="264"/>
      <c r="AG73" s="523"/>
      <c r="AH73" s="287">
        <f>'Exhibit G State'!AF73+'Exhibit G Federal'!AF44</f>
        <v>0</v>
      </c>
      <c r="AI73" s="1034"/>
      <c r="AJ73" s="264"/>
      <c r="AK73" s="264">
        <f t="shared" si="13"/>
        <v>1.2</v>
      </c>
      <c r="AL73" s="11"/>
      <c r="AM73" s="542">
        <f>ROUND(IF(AH73=0,1,AK73/ABS(AH73)),3)</f>
        <v>1</v>
      </c>
      <c r="AN73" s="405"/>
    </row>
    <row r="74" spans="1:40" ht="15" customHeight="1">
      <c r="A74" s="291"/>
      <c r="B74" s="350" t="s">
        <v>1414</v>
      </c>
      <c r="C74" s="291"/>
      <c r="D74" s="287">
        <f>'Exhibit G State'!D74+'Exhibit G Federal'!D45</f>
        <v>337</v>
      </c>
      <c r="E74" s="287"/>
      <c r="F74" s="287">
        <f>'Exhibit G State'!F74+'Exhibit G Federal'!F51</f>
        <v>291.89999999999998</v>
      </c>
      <c r="G74" s="287"/>
      <c r="H74" s="287">
        <f>'Exhibit G State'!H74+'Exhibit G Federal'!H45</f>
        <v>298.60000000000002</v>
      </c>
      <c r="J74" s="287"/>
      <c r="L74" s="287"/>
      <c r="N74" s="287"/>
      <c r="P74" s="287"/>
      <c r="R74" s="287"/>
      <c r="S74" s="287"/>
      <c r="T74" s="287"/>
      <c r="U74" s="287"/>
      <c r="V74" s="287"/>
      <c r="W74" s="287"/>
      <c r="X74" s="287"/>
      <c r="Y74" s="287"/>
      <c r="Z74" s="287"/>
      <c r="AA74" s="287"/>
      <c r="AB74" s="264">
        <v>0</v>
      </c>
      <c r="AC74" s="264"/>
      <c r="AD74" s="523"/>
      <c r="AE74" s="264">
        <f t="shared" si="7"/>
        <v>927.5</v>
      </c>
      <c r="AF74" s="264"/>
      <c r="AG74" s="523"/>
      <c r="AH74" s="287">
        <f>'Exhibit G State'!AF74+'Exhibit G Federal'!AF45</f>
        <v>858.6</v>
      </c>
      <c r="AI74" s="1034"/>
      <c r="AJ74" s="264"/>
      <c r="AK74" s="264">
        <f t="shared" si="13"/>
        <v>68.900000000000006</v>
      </c>
      <c r="AL74" s="11"/>
      <c r="AM74" s="542">
        <f>ROUND(IF(AH74=0,0,AK74/ABS(AH74)),3)</f>
        <v>0.08</v>
      </c>
      <c r="AN74" s="405"/>
    </row>
    <row r="75" spans="1:40" ht="15" customHeight="1">
      <c r="A75" s="291"/>
      <c r="B75" s="350" t="s">
        <v>503</v>
      </c>
      <c r="C75" s="291"/>
      <c r="D75" s="287">
        <f>'Exhibit G State'!D75+'Exhibit G Federal'!D46</f>
        <v>9.8000000000000007</v>
      </c>
      <c r="E75" s="287"/>
      <c r="F75" s="287">
        <f>'Exhibit G State'!F75+'Exhibit G Federal'!F46</f>
        <v>10.700000000000001</v>
      </c>
      <c r="G75" s="287"/>
      <c r="H75" s="287">
        <f>'Exhibit G State'!H75+'Exhibit G Federal'!H46</f>
        <v>11.799999999999995</v>
      </c>
      <c r="J75" s="287"/>
      <c r="L75" s="287"/>
      <c r="N75" s="287"/>
      <c r="P75" s="287"/>
      <c r="R75" s="287"/>
      <c r="S75" s="287"/>
      <c r="T75" s="287"/>
      <c r="U75" s="287"/>
      <c r="V75" s="287"/>
      <c r="W75" s="287"/>
      <c r="X75" s="287"/>
      <c r="Y75" s="287"/>
      <c r="Z75" s="287"/>
      <c r="AA75" s="287"/>
      <c r="AB75" s="264">
        <v>0</v>
      </c>
      <c r="AC75" s="264"/>
      <c r="AD75" s="523"/>
      <c r="AE75" s="264">
        <f t="shared" si="7"/>
        <v>32.299999999999997</v>
      </c>
      <c r="AF75" s="264"/>
      <c r="AG75" s="523"/>
      <c r="AH75" s="287">
        <f>'Exhibit G State'!AF75+'Exhibit G Federal'!AF46</f>
        <v>33</v>
      </c>
      <c r="AI75" s="1034"/>
      <c r="AJ75" s="264"/>
      <c r="AK75" s="264">
        <f t="shared" si="13"/>
        <v>-0.7</v>
      </c>
      <c r="AL75" s="11"/>
      <c r="AM75" s="266">
        <f t="shared" si="14"/>
        <v>-2.1000000000000001E-2</v>
      </c>
      <c r="AN75" s="405"/>
    </row>
    <row r="76" spans="1:40" ht="15" customHeight="1">
      <c r="A76" s="291"/>
      <c r="B76" s="350" t="s">
        <v>1415</v>
      </c>
      <c r="C76" s="291"/>
      <c r="D76" s="287">
        <f>'Exhibit G State'!D76+'Exhibit G Federal'!D47</f>
        <v>21.8</v>
      </c>
      <c r="E76" s="287"/>
      <c r="F76" s="287">
        <f>'Exhibit G State'!F76+'Exhibit G Federal'!F53</f>
        <v>0.80000000000000071</v>
      </c>
      <c r="G76" s="287"/>
      <c r="H76" s="287">
        <f>'Exhibit G State'!H76+'Exhibit G Federal'!H47</f>
        <v>2.1999999999999993</v>
      </c>
      <c r="J76" s="287"/>
      <c r="L76" s="287"/>
      <c r="N76" s="287"/>
      <c r="P76" s="287"/>
      <c r="R76" s="287"/>
      <c r="S76" s="287"/>
      <c r="T76" s="287"/>
      <c r="U76" s="287"/>
      <c r="V76" s="287"/>
      <c r="W76" s="287"/>
      <c r="X76" s="287"/>
      <c r="Y76" s="287"/>
      <c r="Z76" s="287"/>
      <c r="AA76" s="287"/>
      <c r="AB76" s="264">
        <v>0</v>
      </c>
      <c r="AC76" s="264"/>
      <c r="AD76" s="523"/>
      <c r="AE76" s="264">
        <f t="shared" si="7"/>
        <v>24.8</v>
      </c>
      <c r="AF76" s="264"/>
      <c r="AG76" s="523"/>
      <c r="AH76" s="287">
        <f>'Exhibit G State'!AF76+'Exhibit G Federal'!AF47</f>
        <v>17.3</v>
      </c>
      <c r="AI76" s="1034"/>
      <c r="AJ76" s="264"/>
      <c r="AK76" s="264">
        <f t="shared" si="13"/>
        <v>7.5</v>
      </c>
      <c r="AL76" s="11"/>
      <c r="AM76" s="542">
        <f>ROUND(IF(AH76=0,1,AK76/ABS(AH76)),3)</f>
        <v>0.434</v>
      </c>
      <c r="AN76" s="405"/>
    </row>
    <row r="77" spans="1:40" ht="15" customHeight="1">
      <c r="A77" s="291"/>
      <c r="B77" s="350" t="s">
        <v>1442</v>
      </c>
      <c r="C77" s="291"/>
      <c r="D77" s="287">
        <f>'Exhibit G State'!D77+'Exhibit G Federal'!D48</f>
        <v>1</v>
      </c>
      <c r="E77" s="287"/>
      <c r="F77" s="287">
        <f>'Exhibit G State'!F77+'Exhibit G Federal'!F48</f>
        <v>1.1000000000000001</v>
      </c>
      <c r="G77" s="287"/>
      <c r="H77" s="287">
        <f>'Exhibit G State'!H77+'Exhibit G Federal'!H48</f>
        <v>1</v>
      </c>
      <c r="J77" s="287"/>
      <c r="L77" s="287"/>
      <c r="N77" s="287"/>
      <c r="P77" s="287"/>
      <c r="R77" s="287"/>
      <c r="S77" s="287"/>
      <c r="T77" s="287"/>
      <c r="U77" s="287"/>
      <c r="V77" s="287"/>
      <c r="W77" s="287"/>
      <c r="X77" s="287"/>
      <c r="Y77" s="287"/>
      <c r="Z77" s="287"/>
      <c r="AA77" s="287"/>
      <c r="AB77" s="264">
        <v>0</v>
      </c>
      <c r="AC77" s="264"/>
      <c r="AD77" s="523"/>
      <c r="AE77" s="264">
        <f t="shared" si="7"/>
        <v>3.1</v>
      </c>
      <c r="AF77" s="264"/>
      <c r="AG77" s="523"/>
      <c r="AH77" s="287">
        <f>'Exhibit G State'!AF77+'Exhibit G Federal'!AF48</f>
        <v>3.5</v>
      </c>
      <c r="AI77" s="1034"/>
      <c r="AJ77" s="264"/>
      <c r="AK77" s="264">
        <f t="shared" si="13"/>
        <v>-0.4</v>
      </c>
      <c r="AL77" s="11"/>
      <c r="AM77" s="266">
        <f>ROUND(IF(AH77=0,0,AK77/ABS(AH77)),3)</f>
        <v>-0.114</v>
      </c>
      <c r="AN77" s="405"/>
    </row>
    <row r="78" spans="1:40" ht="15" customHeight="1">
      <c r="A78" s="291"/>
      <c r="B78" s="350" t="s">
        <v>505</v>
      </c>
      <c r="C78" s="291"/>
      <c r="D78" s="287">
        <f>'Exhibit G State'!D78+'Exhibit G Federal'!D49</f>
        <v>30.1</v>
      </c>
      <c r="E78" s="287"/>
      <c r="F78" s="287">
        <f>'Exhibit G State'!F78+'Exhibit G Federal'!F55</f>
        <v>80.5</v>
      </c>
      <c r="G78" s="287"/>
      <c r="H78" s="287">
        <f>'Exhibit G State'!H78+'Exhibit G Federal'!H49</f>
        <v>46.099999999999994</v>
      </c>
      <c r="J78" s="287"/>
      <c r="L78" s="287"/>
      <c r="N78" s="287"/>
      <c r="P78" s="287"/>
      <c r="R78" s="287"/>
      <c r="S78" s="287"/>
      <c r="T78" s="287"/>
      <c r="U78" s="287"/>
      <c r="V78" s="287"/>
      <c r="W78" s="287"/>
      <c r="X78" s="287"/>
      <c r="Y78" s="287"/>
      <c r="Z78" s="287"/>
      <c r="AA78" s="287"/>
      <c r="AB78" s="264">
        <v>0</v>
      </c>
      <c r="AC78" s="264"/>
      <c r="AD78" s="523"/>
      <c r="AE78" s="264">
        <f t="shared" si="7"/>
        <v>156.69999999999999</v>
      </c>
      <c r="AF78" s="264"/>
      <c r="AG78" s="523"/>
      <c r="AH78" s="287">
        <f>'Exhibit G State'!AF78+'Exhibit G Federal'!AF49</f>
        <v>171.70000000000002</v>
      </c>
      <c r="AI78" s="1034"/>
      <c r="AJ78" s="264"/>
      <c r="AK78" s="264">
        <f t="shared" si="13"/>
        <v>-15</v>
      </c>
      <c r="AL78" s="11"/>
      <c r="AM78" s="542">
        <f>ROUND(IF(AH78=0,0,AK78/ABS(AH78)),3)</f>
        <v>-8.6999999999999994E-2</v>
      </c>
      <c r="AN78" s="405"/>
    </row>
    <row r="79" spans="1:40" ht="15" customHeight="1">
      <c r="A79" s="291"/>
      <c r="B79" s="350" t="s">
        <v>424</v>
      </c>
      <c r="C79" s="291"/>
      <c r="D79" s="287">
        <f>'Exhibit G State'!D79+'Exhibit G Federal'!D50</f>
        <v>1.3</v>
      </c>
      <c r="E79" s="287"/>
      <c r="F79" s="287">
        <f>'Exhibit G State'!F79+'Exhibit G Federal'!F50</f>
        <v>1.3</v>
      </c>
      <c r="G79" s="287"/>
      <c r="H79" s="287">
        <f>'Exhibit G State'!H79+'Exhibit G Federal'!H50</f>
        <v>1.2999999999999996</v>
      </c>
      <c r="J79" s="287"/>
      <c r="L79" s="287"/>
      <c r="N79" s="287"/>
      <c r="P79" s="287"/>
      <c r="R79" s="287"/>
      <c r="S79" s="287"/>
      <c r="T79" s="287"/>
      <c r="U79" s="287"/>
      <c r="V79" s="287"/>
      <c r="W79" s="287"/>
      <c r="X79" s="287"/>
      <c r="Y79" s="287"/>
      <c r="Z79" s="287"/>
      <c r="AA79" s="287"/>
      <c r="AB79" s="264">
        <v>0</v>
      </c>
      <c r="AC79" s="264"/>
      <c r="AD79" s="523"/>
      <c r="AE79" s="264">
        <f t="shared" si="7"/>
        <v>3.9</v>
      </c>
      <c r="AF79" s="264"/>
      <c r="AG79" s="523"/>
      <c r="AH79" s="287">
        <f>'Exhibit G State'!AF79+'Exhibit G Federal'!AF50</f>
        <v>4.7</v>
      </c>
      <c r="AI79" s="1034"/>
      <c r="AJ79" s="264"/>
      <c r="AK79" s="264">
        <f t="shared" si="13"/>
        <v>-0.8</v>
      </c>
      <c r="AL79" s="11"/>
      <c r="AM79" s="266">
        <f>ROUND(IF(AH79=0,0,AK79/ABS(AH79)),3)</f>
        <v>-0.17</v>
      </c>
      <c r="AN79" s="405"/>
    </row>
    <row r="80" spans="1:40" ht="15" customHeight="1">
      <c r="A80" s="291"/>
      <c r="B80" s="350" t="s">
        <v>1416</v>
      </c>
      <c r="C80" s="291"/>
      <c r="D80" s="287">
        <f>'Exhibit G State'!D80+'Exhibit G Federal'!D51</f>
        <v>36.4</v>
      </c>
      <c r="E80" s="287"/>
      <c r="F80" s="287">
        <f>'Exhibit G State'!F80+'Exhibit G Federal'!F57</f>
        <v>41.000000000000007</v>
      </c>
      <c r="G80" s="287"/>
      <c r="H80" s="287">
        <f>'Exhibit G State'!H80+'Exhibit G Federal'!H51</f>
        <v>26.700000000000003</v>
      </c>
      <c r="J80" s="287"/>
      <c r="L80" s="287"/>
      <c r="N80" s="287"/>
      <c r="P80" s="287"/>
      <c r="R80" s="287"/>
      <c r="S80" s="287"/>
      <c r="T80" s="287"/>
      <c r="U80" s="287"/>
      <c r="V80" s="287"/>
      <c r="W80" s="287"/>
      <c r="X80" s="287"/>
      <c r="Y80" s="287"/>
      <c r="Z80" s="287"/>
      <c r="AA80" s="287"/>
      <c r="AB80" s="264">
        <v>0</v>
      </c>
      <c r="AC80" s="264"/>
      <c r="AD80" s="523"/>
      <c r="AE80" s="264">
        <f t="shared" si="7"/>
        <v>104.1</v>
      </c>
      <c r="AF80" s="264"/>
      <c r="AG80" s="523"/>
      <c r="AH80" s="287">
        <f>'Exhibit G State'!AF80+'Exhibit G Federal'!AF51</f>
        <v>114.5</v>
      </c>
      <c r="AI80" s="1034"/>
      <c r="AJ80" s="264"/>
      <c r="AK80" s="264">
        <f t="shared" si="13"/>
        <v>-10.4</v>
      </c>
      <c r="AL80" s="11"/>
      <c r="AM80" s="266">
        <f>ROUND(IF(AH80=0,0,AK80/ABS(AH80)),3)</f>
        <v>-9.0999999999999998E-2</v>
      </c>
      <c r="AN80" s="405"/>
    </row>
    <row r="81" spans="1:40" s="57" customFormat="1" ht="15" customHeight="1">
      <c r="A81" s="3"/>
      <c r="B81" s="83" t="s">
        <v>506</v>
      </c>
      <c r="C81" s="3"/>
      <c r="D81" s="673">
        <f>ROUND(SUM(D42:D80),1)</f>
        <v>2104.1999999999998</v>
      </c>
      <c r="E81"/>
      <c r="F81" s="673">
        <f>ROUND(SUM(F42:F80),1)</f>
        <v>3016.7</v>
      </c>
      <c r="G81"/>
      <c r="H81" s="673">
        <f>ROUND(SUM(H42:H80),1)</f>
        <v>2008.5</v>
      </c>
      <c r="I81"/>
      <c r="J81" s="673">
        <f>ROUND(SUM(J42:J80),1)</f>
        <v>0</v>
      </c>
      <c r="K81"/>
      <c r="L81" s="673">
        <f>ROUND(SUM(L42:L80),1)</f>
        <v>0</v>
      </c>
      <c r="M81"/>
      <c r="N81" s="673">
        <f>ROUND(SUM(N42:N80),1)</f>
        <v>0</v>
      </c>
      <c r="O81"/>
      <c r="P81" s="673">
        <f>ROUND(SUM(P42:P80),1)</f>
        <v>0</v>
      </c>
      <c r="Q81"/>
      <c r="R81" s="673">
        <f>ROUND(SUM(R42:R80),1)</f>
        <v>0</v>
      </c>
      <c r="S81"/>
      <c r="T81" s="673">
        <f>ROUND(SUM(T42:T80),1)</f>
        <v>0</v>
      </c>
      <c r="U81"/>
      <c r="V81" s="673">
        <f>ROUND(SUM(V42:V80),1)</f>
        <v>0</v>
      </c>
      <c r="W81"/>
      <c r="X81" s="673">
        <f>ROUND(SUM(X42:X80),1)</f>
        <v>0</v>
      </c>
      <c r="Y81"/>
      <c r="Z81" s="673">
        <f>ROUND(SUM(Z42:Z80),1)</f>
        <v>0</v>
      </c>
      <c r="AA81" s="13"/>
      <c r="AB81" s="673">
        <f>SUM(AB42:AB80)</f>
        <v>0</v>
      </c>
      <c r="AC81" s="13"/>
      <c r="AD81" s="14"/>
      <c r="AE81" s="673">
        <f>ROUND(SUM(AE42:AE80),1)</f>
        <v>7129.4</v>
      </c>
      <c r="AF81" s="13"/>
      <c r="AG81" s="14"/>
      <c r="AH81" s="673">
        <f>ROUND(SUM(AH42:AH80),1)</f>
        <v>5673.3</v>
      </c>
      <c r="AI81" s="75"/>
      <c r="AJ81" s="13"/>
      <c r="AK81" s="673">
        <f>ROUND(SUM(AK42:AK80),1)</f>
        <v>1456.1</v>
      </c>
      <c r="AL81" s="202"/>
      <c r="AM81" s="923">
        <f>ROUND(SUM(+AK81/AH81),3)</f>
        <v>0.25700000000000001</v>
      </c>
      <c r="AN81" s="405"/>
    </row>
    <row r="82" spans="1:40" ht="15" customHeight="1">
      <c r="A82" s="291"/>
      <c r="B82" s="350"/>
      <c r="C82" s="291"/>
      <c r="D82" s="11"/>
      <c r="F82" s="11"/>
      <c r="H82" s="11"/>
      <c r="J82" s="264"/>
      <c r="L82" s="264"/>
      <c r="N82" s="264"/>
      <c r="P82" s="264"/>
      <c r="R82" s="264"/>
      <c r="T82" s="264"/>
      <c r="V82" s="287"/>
      <c r="X82" s="287"/>
      <c r="Z82" s="287"/>
      <c r="AA82" s="11"/>
      <c r="AB82" s="264"/>
      <c r="AC82" s="1232"/>
      <c r="AD82" s="264"/>
      <c r="AE82" s="264"/>
      <c r="AF82" s="264"/>
      <c r="AG82" s="523"/>
      <c r="AH82" s="264"/>
      <c r="AI82" s="519"/>
      <c r="AJ82" s="264"/>
      <c r="AK82" s="264"/>
      <c r="AL82" s="11"/>
      <c r="AM82" s="283"/>
      <c r="AN82" s="405"/>
    </row>
    <row r="83" spans="1:40" ht="15" customHeight="1">
      <c r="A83" s="291"/>
      <c r="B83" s="1035" t="s">
        <v>507</v>
      </c>
      <c r="C83" s="291"/>
      <c r="D83" s="287">
        <f>'Exhibit G State'!D83+'Exhibit G Federal'!D54</f>
        <v>8995.3000000000011</v>
      </c>
      <c r="E83" s="287"/>
      <c r="F83" s="287">
        <f>'Exhibit G State'!F83+'Exhibit G Federal'!F54</f>
        <v>7002.1999999999989</v>
      </c>
      <c r="G83" s="287"/>
      <c r="H83" s="287">
        <f>'Exhibit G State'!H83+'Exhibit G Federal'!H54</f>
        <v>13528.3</v>
      </c>
      <c r="J83" s="287"/>
      <c r="L83" s="287"/>
      <c r="N83" s="287"/>
      <c r="P83" s="287"/>
      <c r="R83" s="287"/>
      <c r="S83" s="287"/>
      <c r="T83" s="287"/>
      <c r="U83" s="287"/>
      <c r="V83" s="287"/>
      <c r="W83" s="287"/>
      <c r="X83" s="287"/>
      <c r="Z83" s="287"/>
      <c r="AA83" s="287"/>
      <c r="AB83" s="382">
        <v>0</v>
      </c>
      <c r="AC83" s="1232"/>
      <c r="AD83" s="264"/>
      <c r="AE83" s="264">
        <f t="shared" si="7"/>
        <v>29525.8</v>
      </c>
      <c r="AF83" s="264"/>
      <c r="AG83" s="523"/>
      <c r="AH83" s="287">
        <f>'Exhibit G State'!AF83+'Exhibit G Federal'!AF54</f>
        <v>24575.599999999999</v>
      </c>
      <c r="AI83" s="519"/>
      <c r="AJ83" s="264"/>
      <c r="AK83" s="264">
        <f>ROUND(SUM(+AE83-AH83),1)</f>
        <v>4950.2</v>
      </c>
      <c r="AL83" s="11"/>
      <c r="AM83" s="266">
        <f>ROUND(IF(AH83=0,0,AK83/ABS(AH83)),3)</f>
        <v>0.20100000000000001</v>
      </c>
      <c r="AN83" s="405"/>
    </row>
    <row r="84" spans="1:40" ht="15" customHeight="1">
      <c r="A84" s="291"/>
      <c r="B84" s="291"/>
      <c r="C84" s="291"/>
      <c r="D84" s="615"/>
      <c r="F84" s="615"/>
      <c r="H84" s="615"/>
      <c r="J84" s="615"/>
      <c r="L84" s="615"/>
      <c r="N84" s="615"/>
      <c r="P84" s="615"/>
      <c r="R84" s="615"/>
      <c r="T84" s="615"/>
      <c r="V84" s="615"/>
      <c r="X84" s="615"/>
      <c r="Z84" s="615"/>
      <c r="AA84" s="264"/>
      <c r="AB84" s="264"/>
      <c r="AC84" s="1232"/>
      <c r="AD84" s="264"/>
      <c r="AE84" s="615"/>
      <c r="AF84" s="264"/>
      <c r="AG84" s="523"/>
      <c r="AH84" s="615"/>
      <c r="AI84" s="519"/>
      <c r="AJ84" s="264"/>
      <c r="AK84" s="1036"/>
      <c r="AL84" s="364"/>
      <c r="AM84" s="1037"/>
      <c r="AN84" s="405"/>
    </row>
    <row r="85" spans="1:40" ht="15" customHeight="1">
      <c r="A85" s="291"/>
      <c r="B85" s="3" t="s">
        <v>427</v>
      </c>
      <c r="C85" s="291"/>
      <c r="D85" s="13">
        <f>ROUND(SUM(D83+D81+D38),1)</f>
        <v>11671.8</v>
      </c>
      <c r="F85" s="13">
        <f>ROUND(SUM(F83+F81+F38),1)</f>
        <v>10312.9</v>
      </c>
      <c r="H85" s="13">
        <f>ROUND(SUM(H83+H81+H38),1)</f>
        <v>16374.1</v>
      </c>
      <c r="J85" s="13">
        <f>ROUND(SUM(J83+J81+J38),1)</f>
        <v>0</v>
      </c>
      <c r="L85" s="13">
        <f>ROUND(SUM(L83+L81+L38),1)</f>
        <v>0</v>
      </c>
      <c r="N85" s="13">
        <f>ROUND(SUM(N83+N81+N38),1)</f>
        <v>0</v>
      </c>
      <c r="P85" s="13">
        <f>ROUND(SUM(P83+P81+P38),1)</f>
        <v>0</v>
      </c>
      <c r="R85" s="13">
        <f>ROUND(SUM(R83+R81+R38),1)</f>
        <v>0</v>
      </c>
      <c r="T85" s="13">
        <f>ROUND(SUM(T83+T81+T38),1)</f>
        <v>0</v>
      </c>
      <c r="V85" s="13">
        <f>ROUND(SUM(V83+V81+V38),1)</f>
        <v>0</v>
      </c>
      <c r="X85" s="13">
        <f>ROUND(SUM(X83+X81+X38),1)</f>
        <v>0</v>
      </c>
      <c r="Z85" s="13">
        <f>ROUND(SUM(Z83+Z81+Z38),1)</f>
        <v>0</v>
      </c>
      <c r="AA85" s="13"/>
      <c r="AB85" s="357">
        <f>ROUND(SUM(AB83+AB81+AB38),1)</f>
        <v>0</v>
      </c>
      <c r="AC85" s="1234"/>
      <c r="AD85" s="13"/>
      <c r="AE85" s="13">
        <f>ROUND(SUM(AE83+AE81+AE38),1)</f>
        <v>38358.800000000003</v>
      </c>
      <c r="AF85" s="13"/>
      <c r="AG85" s="14"/>
      <c r="AH85" s="13">
        <f>ROUND(SUM(AH83+AH81+AH38),1)</f>
        <v>31653.200000000001</v>
      </c>
      <c r="AI85" s="75"/>
      <c r="AJ85" s="13"/>
      <c r="AK85" s="357">
        <f>ROUND(SUM(AK83+AK81+AK38),1)</f>
        <v>6705.6</v>
      </c>
      <c r="AL85" s="76"/>
      <c r="AM85" s="368">
        <f>ROUND(SUM(+AK85/AH85),3)</f>
        <v>0.21199999999999999</v>
      </c>
      <c r="AN85" s="405"/>
    </row>
    <row r="86" spans="1:40" ht="15" customHeight="1">
      <c r="A86" s="291"/>
      <c r="B86" s="291"/>
      <c r="C86" s="291"/>
      <c r="D86" s="615"/>
      <c r="F86" s="615"/>
      <c r="H86" s="615"/>
      <c r="J86" s="615"/>
      <c r="L86" s="615"/>
      <c r="N86" s="615"/>
      <c r="P86" s="615"/>
      <c r="R86" s="615"/>
      <c r="T86" s="615"/>
      <c r="V86" s="615"/>
      <c r="X86" s="615"/>
      <c r="Z86" s="615"/>
      <c r="AA86" s="264"/>
      <c r="AB86" s="264"/>
      <c r="AC86" s="264"/>
      <c r="AD86" s="523"/>
      <c r="AE86" s="615"/>
      <c r="AF86" s="264"/>
      <c r="AG86" s="523"/>
      <c r="AH86" s="615"/>
      <c r="AI86" s="519"/>
      <c r="AJ86" s="264"/>
      <c r="AK86" s="264"/>
      <c r="AL86" s="364"/>
      <c r="AM86" s="283"/>
      <c r="AN86" s="405"/>
    </row>
    <row r="87" spans="1:40" ht="15" customHeight="1">
      <c r="A87" s="291"/>
      <c r="B87" s="1216" t="s">
        <v>122</v>
      </c>
      <c r="C87" s="291"/>
      <c r="D87" s="264"/>
      <c r="F87" s="264"/>
      <c r="H87" s="264"/>
      <c r="J87" s="264"/>
      <c r="L87" s="264"/>
      <c r="N87" s="264"/>
      <c r="P87" s="264"/>
      <c r="R87" s="264"/>
      <c r="T87" s="264"/>
      <c r="V87" s="264"/>
      <c r="X87" s="264"/>
      <c r="Z87" s="264"/>
      <c r="AA87" s="264"/>
      <c r="AB87" s="264"/>
      <c r="AC87" s="264"/>
      <c r="AD87" s="523"/>
      <c r="AE87" s="264"/>
      <c r="AF87" s="1232"/>
      <c r="AG87" s="524"/>
      <c r="AH87" s="264"/>
      <c r="AI87" s="519"/>
      <c r="AJ87" s="264"/>
      <c r="AK87" s="264"/>
      <c r="AL87" s="364"/>
      <c r="AM87" s="283"/>
      <c r="AN87" s="405"/>
    </row>
    <row r="88" spans="1:40" ht="15" customHeight="1">
      <c r="A88" s="291"/>
      <c r="B88" s="291" t="s">
        <v>451</v>
      </c>
      <c r="C88" s="291"/>
      <c r="D88" s="11"/>
      <c r="F88" s="11"/>
      <c r="H88" s="11"/>
      <c r="J88" s="264"/>
      <c r="L88" s="264"/>
      <c r="N88" s="264"/>
      <c r="P88" s="264"/>
      <c r="R88" s="264"/>
      <c r="T88" s="264"/>
      <c r="V88" s="264"/>
      <c r="X88" s="264"/>
      <c r="Z88" s="287"/>
      <c r="AA88" s="11"/>
      <c r="AB88" s="264"/>
      <c r="AC88" s="264"/>
      <c r="AD88" s="523"/>
      <c r="AE88" s="264"/>
      <c r="AF88" s="264"/>
      <c r="AG88" s="523"/>
      <c r="AH88" s="264"/>
      <c r="AI88" s="519"/>
      <c r="AJ88" s="264"/>
      <c r="AK88" s="264"/>
      <c r="AL88" s="364"/>
      <c r="AM88" s="283"/>
      <c r="AN88" s="405"/>
    </row>
    <row r="89" spans="1:40" ht="15" customHeight="1">
      <c r="A89" s="291"/>
      <c r="B89" s="384" t="s">
        <v>124</v>
      </c>
      <c r="C89" s="291"/>
      <c r="D89" s="287">
        <f>'Exhibit G State'!D89+'Exhibit G Federal'!D60</f>
        <v>489.1</v>
      </c>
      <c r="E89" s="287"/>
      <c r="F89" s="287">
        <f>'Exhibit G State'!F89+'Exhibit G Federal'!F60</f>
        <v>361.39999999999992</v>
      </c>
      <c r="G89" s="287"/>
      <c r="H89" s="287">
        <f>'Exhibit G State'!H89+'Exhibit G Federal'!H60</f>
        <v>1050.7</v>
      </c>
      <c r="J89" s="287"/>
      <c r="L89" s="287"/>
      <c r="N89" s="287"/>
      <c r="P89" s="287"/>
      <c r="R89" s="287"/>
      <c r="S89" s="287"/>
      <c r="T89" s="287"/>
      <c r="U89" s="287"/>
      <c r="V89" s="287"/>
      <c r="W89" s="287"/>
      <c r="X89" s="287"/>
      <c r="Y89" s="287"/>
      <c r="Z89" s="287"/>
      <c r="AA89" s="287"/>
      <c r="AB89" s="264">
        <v>0</v>
      </c>
      <c r="AC89" s="264"/>
      <c r="AD89" s="523"/>
      <c r="AE89" s="264">
        <f>ROUND(SUM(D89:Z89),1)</f>
        <v>1901.2</v>
      </c>
      <c r="AF89" s="264"/>
      <c r="AG89" s="523"/>
      <c r="AH89" s="287">
        <f>'Exhibit G State'!AF89+'Exhibit G Federal'!AF60</f>
        <v>1750.6000000000001</v>
      </c>
      <c r="AI89" s="519"/>
      <c r="AJ89" s="264"/>
      <c r="AK89" s="264">
        <f>ROUND(SUM(+AE89-AH89),1)</f>
        <v>150.6</v>
      </c>
      <c r="AL89" s="11"/>
      <c r="AM89" s="266">
        <f>ROUND(IF(AH89=0,0,AK89/ABS(AH89)),3)</f>
        <v>8.5999999999999993E-2</v>
      </c>
      <c r="AN89" s="405"/>
    </row>
    <row r="90" spans="1:40" ht="15" customHeight="1">
      <c r="A90" s="291"/>
      <c r="B90" s="384" t="s">
        <v>1418</v>
      </c>
      <c r="C90" s="291"/>
      <c r="D90" s="287">
        <f>'Exhibit G State'!D90+'Exhibit G Federal'!D61</f>
        <v>0.1</v>
      </c>
      <c r="E90" s="287"/>
      <c r="F90" s="287">
        <f>'Exhibit G State'!F90+'Exhibit G Federal'!F61</f>
        <v>0.2</v>
      </c>
      <c r="G90" s="287"/>
      <c r="H90" s="287">
        <f>'Exhibit G State'!H90+'Exhibit G Federal'!H61</f>
        <v>0.19999999999999998</v>
      </c>
      <c r="J90" s="287"/>
      <c r="L90" s="287"/>
      <c r="N90" s="287"/>
      <c r="P90" s="287"/>
      <c r="R90" s="287"/>
      <c r="S90" s="287"/>
      <c r="T90" s="287"/>
      <c r="U90" s="287"/>
      <c r="V90" s="287"/>
      <c r="W90" s="287"/>
      <c r="X90" s="287"/>
      <c r="Y90" s="287"/>
      <c r="Z90" s="287"/>
      <c r="AA90" s="287"/>
      <c r="AB90" s="264">
        <v>0</v>
      </c>
      <c r="AC90" s="264"/>
      <c r="AD90" s="523"/>
      <c r="AE90" s="264">
        <f>ROUND(SUM(D90:Z90),1)</f>
        <v>0.5</v>
      </c>
      <c r="AF90" s="264"/>
      <c r="AG90" s="523"/>
      <c r="AH90" s="287">
        <f>'Exhibit G State'!AF90+'Exhibit G Federal'!AF61</f>
        <v>0.5</v>
      </c>
      <c r="AI90" s="519"/>
      <c r="AJ90" s="264"/>
      <c r="AK90" s="264">
        <f>ROUND(SUM(+AE90-AH90),1)</f>
        <v>0</v>
      </c>
      <c r="AL90" s="11"/>
      <c r="AM90" s="542">
        <f>ROUND(IF(AH90=0,1,AK90/ABS(AH90)),3)</f>
        <v>0</v>
      </c>
      <c r="AN90" s="405"/>
    </row>
    <row r="91" spans="1:40" ht="15" customHeight="1">
      <c r="A91" s="291"/>
      <c r="B91" s="384" t="s">
        <v>1417</v>
      </c>
      <c r="C91" s="291"/>
      <c r="D91" s="287">
        <f>'Exhibit G State'!D91+'Exhibit G Federal'!D62</f>
        <v>20.2</v>
      </c>
      <c r="E91" s="287"/>
      <c r="F91" s="287">
        <f>'Exhibit G State'!F91+'Exhibit G Federal'!F62</f>
        <v>41.7</v>
      </c>
      <c r="G91" s="287"/>
      <c r="H91" s="287">
        <f>'Exhibit G State'!H91+'Exhibit G Federal'!H62</f>
        <v>45.5</v>
      </c>
      <c r="J91" s="287"/>
      <c r="L91" s="287"/>
      <c r="N91" s="287"/>
      <c r="P91" s="287"/>
      <c r="R91" s="287"/>
      <c r="S91" s="287"/>
      <c r="T91" s="287"/>
      <c r="U91" s="287"/>
      <c r="V91" s="287"/>
      <c r="W91" s="287"/>
      <c r="X91" s="287"/>
      <c r="Y91" s="287"/>
      <c r="Z91" s="287"/>
      <c r="AA91" s="287"/>
      <c r="AB91" s="264">
        <v>0</v>
      </c>
      <c r="AC91" s="264"/>
      <c r="AD91" s="523"/>
      <c r="AE91" s="264">
        <f>ROUND(SUM(D91:Z91),1)</f>
        <v>107.4</v>
      </c>
      <c r="AF91" s="264"/>
      <c r="AG91" s="523"/>
      <c r="AH91" s="287">
        <f>'Exhibit G State'!AF91+'Exhibit G Federal'!AF62</f>
        <v>64</v>
      </c>
      <c r="AI91" s="519"/>
      <c r="AJ91" s="264"/>
      <c r="AK91" s="264">
        <f>ROUND(SUM(+AE91-AH91),1)</f>
        <v>43.4</v>
      </c>
      <c r="AL91" s="11"/>
      <c r="AM91" s="542">
        <f>ROUND(IF(AH91=0,0,AK91/ABS(AH91)),3)</f>
        <v>0.67800000000000005</v>
      </c>
      <c r="AN91" s="405"/>
    </row>
    <row r="92" spans="1:40" ht="15" customHeight="1">
      <c r="A92" s="291"/>
      <c r="B92" s="384" t="s">
        <v>127</v>
      </c>
      <c r="C92" s="291"/>
      <c r="D92" s="264"/>
      <c r="E92" s="264"/>
      <c r="F92" s="264"/>
      <c r="G92" s="264"/>
      <c r="H92" s="264"/>
      <c r="J92" s="287"/>
      <c r="L92" s="264"/>
      <c r="N92" s="264"/>
      <c r="P92" s="264"/>
      <c r="R92" s="264"/>
      <c r="S92" s="264"/>
      <c r="T92" s="287"/>
      <c r="U92" s="264"/>
      <c r="V92" s="264"/>
      <c r="W92" s="264"/>
      <c r="X92" s="287"/>
      <c r="Y92" s="264"/>
      <c r="Z92" s="264"/>
      <c r="AA92" s="264"/>
      <c r="AB92" s="264" t="s">
        <v>103</v>
      </c>
      <c r="AC92" s="264"/>
      <c r="AD92" s="523"/>
      <c r="AE92" s="264"/>
      <c r="AF92" s="264"/>
      <c r="AG92" s="523"/>
      <c r="AH92" s="264"/>
      <c r="AI92" s="519"/>
      <c r="AJ92" s="264"/>
      <c r="AK92" s="264" t="s">
        <v>103</v>
      </c>
      <c r="AL92" s="268" t="s">
        <v>103</v>
      </c>
      <c r="AM92" s="283" t="s">
        <v>103</v>
      </c>
      <c r="AN92" s="405"/>
    </row>
    <row r="93" spans="1:40" ht="15" customHeight="1">
      <c r="A93" s="291"/>
      <c r="B93" s="1027" t="s">
        <v>128</v>
      </c>
      <c r="C93" s="291"/>
      <c r="D93" s="287">
        <f>'Exhibit G State'!D93+'Exhibit G Federal'!D64</f>
        <v>5391.0999999999995</v>
      </c>
      <c r="E93" s="287"/>
      <c r="F93" s="287">
        <f>'Exhibit G State'!F93+'Exhibit G Federal'!F64</f>
        <v>5059.9999999999991</v>
      </c>
      <c r="G93" s="287"/>
      <c r="H93" s="287">
        <f>'Exhibit G State'!H93+'Exhibit G Federal'!H64</f>
        <v>5277.7000000000016</v>
      </c>
      <c r="J93" s="287"/>
      <c r="L93" s="287"/>
      <c r="N93" s="287"/>
      <c r="P93" s="287"/>
      <c r="R93" s="287"/>
      <c r="S93" s="287"/>
      <c r="T93" s="287"/>
      <c r="U93" s="287"/>
      <c r="V93" s="287"/>
      <c r="W93" s="287"/>
      <c r="X93" s="287"/>
      <c r="Y93" s="287"/>
      <c r="Z93" s="287"/>
      <c r="AA93" s="287"/>
      <c r="AB93" s="264">
        <v>0</v>
      </c>
      <c r="AC93" s="264"/>
      <c r="AD93" s="523"/>
      <c r="AE93" s="264">
        <f t="shared" ref="AE93:AE98" si="15">ROUND(SUM(D93:Z93),1)</f>
        <v>15728.8</v>
      </c>
      <c r="AF93" s="264"/>
      <c r="AG93" s="523"/>
      <c r="AH93" s="287">
        <f>'Exhibit G State'!AF93+'Exhibit G Federal'!AF64</f>
        <v>15222</v>
      </c>
      <c r="AI93" s="519"/>
      <c r="AJ93" s="264"/>
      <c r="AK93" s="264">
        <f t="shared" ref="AK93:AK98" si="16">ROUND(SUM(+AE93-AH93),1)</f>
        <v>506.8</v>
      </c>
      <c r="AL93" s="11"/>
      <c r="AM93" s="266">
        <f>ROUND(IF(AH93=0,0,AK93/ABS(AH93)),3)</f>
        <v>3.3000000000000002E-2</v>
      </c>
      <c r="AN93" s="405"/>
    </row>
    <row r="94" spans="1:40" ht="15" customHeight="1">
      <c r="A94" s="291"/>
      <c r="B94" s="384" t="s">
        <v>129</v>
      </c>
      <c r="C94" s="291"/>
      <c r="D94" s="287">
        <f>'Exhibit G State'!D94+'Exhibit G Federal'!D65</f>
        <v>1385.6000000000001</v>
      </c>
      <c r="E94" s="287"/>
      <c r="F94" s="287">
        <f>'Exhibit G State'!F94+'Exhibit G Federal'!F65</f>
        <v>1396.7999999999997</v>
      </c>
      <c r="G94" s="287"/>
      <c r="H94" s="287">
        <f>'Exhibit G State'!H94+'Exhibit G Federal'!H65</f>
        <v>1932.2000000000003</v>
      </c>
      <c r="J94" s="287"/>
      <c r="L94" s="287"/>
      <c r="N94" s="287"/>
      <c r="P94" s="287"/>
      <c r="R94" s="287"/>
      <c r="S94" s="287"/>
      <c r="T94" s="287"/>
      <c r="U94" s="287"/>
      <c r="V94" s="287"/>
      <c r="W94" s="287"/>
      <c r="X94" s="287"/>
      <c r="Y94" s="287"/>
      <c r="Z94" s="287"/>
      <c r="AA94" s="287"/>
      <c r="AB94" s="264">
        <v>0</v>
      </c>
      <c r="AC94" s="264"/>
      <c r="AD94" s="523"/>
      <c r="AE94" s="264">
        <f t="shared" si="15"/>
        <v>4714.6000000000004</v>
      </c>
      <c r="AF94" s="264"/>
      <c r="AG94" s="523"/>
      <c r="AH94" s="287">
        <f>'Exhibit G State'!AF94+'Exhibit G Federal'!AF65</f>
        <v>5005.4000000000005</v>
      </c>
      <c r="AI94" s="519"/>
      <c r="AJ94" s="264"/>
      <c r="AK94" s="264">
        <f t="shared" si="16"/>
        <v>-290.8</v>
      </c>
      <c r="AL94" s="11"/>
      <c r="AM94" s="266">
        <f t="shared" ref="AM94:AM98" si="17">ROUND(IF(AH94=0,0,AK94/ABS(AH94)),3)</f>
        <v>-5.8000000000000003E-2</v>
      </c>
      <c r="AN94" s="405"/>
    </row>
    <row r="95" spans="1:40" ht="15" customHeight="1">
      <c r="A95" s="291"/>
      <c r="B95" s="384" t="s">
        <v>130</v>
      </c>
      <c r="C95" s="291"/>
      <c r="D95" s="287">
        <f>'Exhibit G State'!D95+'Exhibit G Federal'!D66</f>
        <v>383.5</v>
      </c>
      <c r="E95" s="287"/>
      <c r="F95" s="287">
        <f>'Exhibit G State'!F95+'Exhibit G Federal'!F66</f>
        <v>987.8</v>
      </c>
      <c r="G95" s="287"/>
      <c r="H95" s="287">
        <f>'Exhibit G State'!H95+'Exhibit G Federal'!H66</f>
        <v>504.79999999999995</v>
      </c>
      <c r="J95" s="287"/>
      <c r="L95" s="287"/>
      <c r="N95" s="287"/>
      <c r="P95" s="287"/>
      <c r="R95" s="287"/>
      <c r="S95" s="287"/>
      <c r="T95" s="287"/>
      <c r="U95" s="287"/>
      <c r="V95" s="287"/>
      <c r="W95" s="287"/>
      <c r="X95" s="287"/>
      <c r="Y95" s="287"/>
      <c r="Z95" s="287"/>
      <c r="AA95" s="287"/>
      <c r="AB95" s="264">
        <v>0</v>
      </c>
      <c r="AC95" s="264"/>
      <c r="AD95" s="523"/>
      <c r="AE95" s="264">
        <f t="shared" si="15"/>
        <v>1876.1</v>
      </c>
      <c r="AF95" s="264"/>
      <c r="AG95" s="523"/>
      <c r="AH95" s="287">
        <f>'Exhibit G State'!AF95+'Exhibit G Federal'!AF66</f>
        <v>1221.8</v>
      </c>
      <c r="AI95" s="519"/>
      <c r="AJ95" s="264"/>
      <c r="AK95" s="264">
        <f t="shared" si="16"/>
        <v>654.29999999999995</v>
      </c>
      <c r="AL95" s="11"/>
      <c r="AM95" s="542">
        <f t="shared" si="17"/>
        <v>0.53600000000000003</v>
      </c>
      <c r="AN95" s="405"/>
    </row>
    <row r="96" spans="1:40" ht="15" customHeight="1">
      <c r="A96" s="291"/>
      <c r="B96" s="384" t="s">
        <v>131</v>
      </c>
      <c r="C96" s="291"/>
      <c r="D96" s="287">
        <f>'Exhibit G State'!D96+'Exhibit G Federal'!D67</f>
        <v>399.1</v>
      </c>
      <c r="E96" s="287"/>
      <c r="F96" s="287">
        <f>'Exhibit G State'!F96+'Exhibit G Federal'!F67</f>
        <v>431.69999999999993</v>
      </c>
      <c r="G96" s="287"/>
      <c r="H96" s="287">
        <f>'Exhibit G State'!H96+'Exhibit G Federal'!H67</f>
        <v>896.59999999999991</v>
      </c>
      <c r="J96" s="287"/>
      <c r="L96" s="287"/>
      <c r="N96" s="287"/>
      <c r="P96" s="287"/>
      <c r="R96" s="287"/>
      <c r="S96" s="287"/>
      <c r="T96" s="287"/>
      <c r="U96" s="287"/>
      <c r="V96" s="287"/>
      <c r="W96" s="287"/>
      <c r="X96" s="287"/>
      <c r="Y96" s="287"/>
      <c r="Z96" s="287"/>
      <c r="AA96" s="287"/>
      <c r="AB96" s="264">
        <v>0</v>
      </c>
      <c r="AC96" s="264"/>
      <c r="AD96" s="523"/>
      <c r="AE96" s="264">
        <f t="shared" si="15"/>
        <v>1727.4</v>
      </c>
      <c r="AF96" s="264"/>
      <c r="AG96" s="523"/>
      <c r="AH96" s="287">
        <f>'Exhibit G State'!AF96+'Exhibit G Federal'!AF67</f>
        <v>1898.4</v>
      </c>
      <c r="AI96" s="519"/>
      <c r="AJ96" s="264"/>
      <c r="AK96" s="264">
        <f t="shared" si="16"/>
        <v>-171</v>
      </c>
      <c r="AL96" s="11"/>
      <c r="AM96" s="266">
        <f t="shared" si="17"/>
        <v>-0.09</v>
      </c>
      <c r="AN96" s="405"/>
    </row>
    <row r="97" spans="1:40" ht="15" customHeight="1">
      <c r="A97" s="291"/>
      <c r="B97" s="384" t="s">
        <v>132</v>
      </c>
      <c r="C97" s="291"/>
      <c r="D97" s="287">
        <f>'Exhibit G State'!D97+'Exhibit G Federal'!D68</f>
        <v>0.2</v>
      </c>
      <c r="E97" s="287"/>
      <c r="F97" s="287">
        <f>'Exhibit G State'!F97+'Exhibit G Federal'!F68</f>
        <v>1.5</v>
      </c>
      <c r="G97" s="287"/>
      <c r="H97" s="287">
        <f>'Exhibit G State'!H97+'Exhibit G Federal'!H68</f>
        <v>1.9000000000000001</v>
      </c>
      <c r="J97" s="287"/>
      <c r="L97" s="287"/>
      <c r="N97" s="287"/>
      <c r="P97" s="287"/>
      <c r="R97" s="287"/>
      <c r="S97" s="287"/>
      <c r="T97" s="287"/>
      <c r="U97" s="287"/>
      <c r="V97" s="287"/>
      <c r="W97" s="287"/>
      <c r="X97" s="287"/>
      <c r="Y97" s="287"/>
      <c r="Z97" s="287"/>
      <c r="AA97" s="287"/>
      <c r="AB97" s="264">
        <v>0</v>
      </c>
      <c r="AC97" s="264"/>
      <c r="AD97" s="523"/>
      <c r="AE97" s="264">
        <f t="shared" si="15"/>
        <v>3.6</v>
      </c>
      <c r="AF97" s="264"/>
      <c r="AG97" s="523"/>
      <c r="AH97" s="287">
        <f>'Exhibit G State'!AF97+'Exhibit G Federal'!AF68</f>
        <v>7.5</v>
      </c>
      <c r="AI97" s="519"/>
      <c r="AJ97" s="264"/>
      <c r="AK97" s="264">
        <f t="shared" si="16"/>
        <v>-3.9</v>
      </c>
      <c r="AL97" s="11"/>
      <c r="AM97" s="542">
        <f>ROUND(IF(AH97=0,0,AK97/ABS(AH97)),3)</f>
        <v>-0.52</v>
      </c>
      <c r="AN97" s="405"/>
    </row>
    <row r="98" spans="1:40" ht="15" customHeight="1">
      <c r="A98" s="291"/>
      <c r="B98" s="384" t="s">
        <v>133</v>
      </c>
      <c r="C98" s="291"/>
      <c r="D98" s="287">
        <f>'Exhibit G State'!D98+'Exhibit G Federal'!D69</f>
        <v>88.7</v>
      </c>
      <c r="E98" s="287"/>
      <c r="F98" s="287">
        <f>'Exhibit G State'!F98+'Exhibit G Federal'!F69</f>
        <v>641</v>
      </c>
      <c r="G98" s="287"/>
      <c r="H98" s="287">
        <f>'Exhibit G State'!H98+'Exhibit G Federal'!H69</f>
        <v>433.8</v>
      </c>
      <c r="J98" s="287"/>
      <c r="L98" s="287"/>
      <c r="N98" s="287"/>
      <c r="P98" s="287"/>
      <c r="R98" s="287"/>
      <c r="S98" s="287"/>
      <c r="T98" s="287"/>
      <c r="U98" s="287"/>
      <c r="V98" s="287"/>
      <c r="W98" s="287"/>
      <c r="X98" s="287"/>
      <c r="Y98" s="287"/>
      <c r="Z98" s="287"/>
      <c r="AA98" s="287"/>
      <c r="AB98" s="264">
        <v>0</v>
      </c>
      <c r="AC98" s="264"/>
      <c r="AD98" s="523"/>
      <c r="AE98" s="264">
        <f t="shared" si="15"/>
        <v>1163.5</v>
      </c>
      <c r="AF98" s="264"/>
      <c r="AG98" s="523"/>
      <c r="AH98" s="287">
        <f>'Exhibit G State'!AF98+'Exhibit G Federal'!AF69</f>
        <v>1129.2</v>
      </c>
      <c r="AI98" s="519"/>
      <c r="AJ98" s="264"/>
      <c r="AK98" s="264">
        <f t="shared" si="16"/>
        <v>34.299999999999997</v>
      </c>
      <c r="AL98" s="11"/>
      <c r="AM98" s="533">
        <f t="shared" si="17"/>
        <v>0.03</v>
      </c>
      <c r="AN98" s="405"/>
    </row>
    <row r="99" spans="1:40" ht="15" customHeight="1">
      <c r="A99" s="291"/>
      <c r="B99" s="3" t="s">
        <v>508</v>
      </c>
      <c r="C99" s="291"/>
      <c r="D99" s="673">
        <f>ROUND(SUM(D89:D98),1)</f>
        <v>8157.6</v>
      </c>
      <c r="F99" s="673">
        <f>ROUND(SUM(F89:F98),1)</f>
        <v>8922.1</v>
      </c>
      <c r="H99" s="673">
        <f>ROUND(SUM(H89:H98),1)</f>
        <v>10143.4</v>
      </c>
      <c r="J99" s="673">
        <f>ROUND(SUM(J89:J98),1)</f>
        <v>0</v>
      </c>
      <c r="L99" s="673">
        <f>ROUND(SUM(L89:L98),1)</f>
        <v>0</v>
      </c>
      <c r="N99" s="673">
        <f>ROUND(SUM(N89:N98),1)</f>
        <v>0</v>
      </c>
      <c r="P99" s="673">
        <f>ROUND(SUM(P89:P98),1)</f>
        <v>0</v>
      </c>
      <c r="R99" s="673">
        <f>ROUND(SUM(R89:R98),1)</f>
        <v>0</v>
      </c>
      <c r="T99" s="673">
        <f>ROUND(SUM(T89:T98),1)</f>
        <v>0</v>
      </c>
      <c r="V99" s="673">
        <f>ROUND(SUM(V89:V98),1)</f>
        <v>0</v>
      </c>
      <c r="X99" s="673">
        <f>ROUND(SUM(X89:X98),1)</f>
        <v>0</v>
      </c>
      <c r="Z99" s="673">
        <f>ROUND(SUM(Z89:Z98),1)</f>
        <v>0</v>
      </c>
      <c r="AA99" s="13"/>
      <c r="AB99" s="673">
        <f>ROUND(SUM(AB89:AB98),1)</f>
        <v>0</v>
      </c>
      <c r="AC99" s="13"/>
      <c r="AD99" s="14"/>
      <c r="AE99" s="673">
        <f>ROUND(SUM(AE89:AE98),1)</f>
        <v>27223.1</v>
      </c>
      <c r="AF99" s="13"/>
      <c r="AG99" s="14"/>
      <c r="AH99" s="673">
        <f>ROUND(SUM(AH89:AH98),1)</f>
        <v>26299.4</v>
      </c>
      <c r="AI99" s="75"/>
      <c r="AJ99" s="13"/>
      <c r="AK99" s="673">
        <f>ROUND(SUM(AK89:AK98),1)</f>
        <v>923.7</v>
      </c>
      <c r="AL99" s="40"/>
      <c r="AM99" s="368">
        <f>ROUND(SUM(+AK99/AH99),3)</f>
        <v>3.5000000000000003E-2</v>
      </c>
      <c r="AN99" s="405"/>
    </row>
    <row r="100" spans="1:40" ht="15" customHeight="1">
      <c r="A100" s="291"/>
      <c r="B100" s="291" t="s">
        <v>509</v>
      </c>
      <c r="C100" s="291"/>
      <c r="D100" s="264"/>
      <c r="F100" s="264"/>
      <c r="H100" s="264"/>
      <c r="J100" s="264"/>
      <c r="L100" s="264"/>
      <c r="N100" s="264"/>
      <c r="P100" s="264"/>
      <c r="R100" s="264"/>
      <c r="T100" s="264"/>
      <c r="V100" s="264"/>
      <c r="X100" s="264"/>
      <c r="Z100" s="264"/>
      <c r="AA100" s="264"/>
      <c r="AB100" s="264"/>
      <c r="AC100" s="264"/>
      <c r="AD100" s="523"/>
      <c r="AE100" s="264"/>
      <c r="AF100" s="264"/>
      <c r="AG100" s="523"/>
      <c r="AH100" s="264"/>
      <c r="AI100" s="519"/>
      <c r="AJ100" s="264"/>
      <c r="AK100" s="264"/>
      <c r="AL100" s="364"/>
      <c r="AM100" s="283"/>
      <c r="AN100" s="405"/>
    </row>
    <row r="101" spans="1:40" ht="15" customHeight="1">
      <c r="A101" s="291"/>
      <c r="B101" s="291" t="s">
        <v>454</v>
      </c>
      <c r="C101" s="291"/>
      <c r="D101" s="287">
        <f>'Exhibit G State'!D101+'Exhibit G Federal'!D72</f>
        <v>622.69999999999993</v>
      </c>
      <c r="E101" s="287"/>
      <c r="F101" s="287">
        <f>'Exhibit G State'!F101+'Exhibit G Federal'!F72</f>
        <v>575.4</v>
      </c>
      <c r="G101" s="287"/>
      <c r="H101" s="287">
        <f>'Exhibit G State'!H101+'Exhibit G Federal'!H72</f>
        <v>535.29999999999995</v>
      </c>
      <c r="J101" s="287"/>
      <c r="L101" s="287"/>
      <c r="N101" s="287"/>
      <c r="P101" s="287"/>
      <c r="R101" s="287"/>
      <c r="S101" s="287"/>
      <c r="T101" s="287"/>
      <c r="U101" s="287"/>
      <c r="V101" s="287"/>
      <c r="W101" s="287"/>
      <c r="X101" s="287"/>
      <c r="Y101" s="287"/>
      <c r="Z101" s="287"/>
      <c r="AA101" s="287"/>
      <c r="AB101" s="264">
        <v>0</v>
      </c>
      <c r="AC101" s="264"/>
      <c r="AD101" s="523"/>
      <c r="AE101" s="264">
        <f>ROUND(SUM(D101:Z101),1)</f>
        <v>1733.4</v>
      </c>
      <c r="AF101" s="264"/>
      <c r="AG101" s="523"/>
      <c r="AH101" s="287">
        <f>'Exhibit G State'!AF101+'Exhibit G Federal'!AF72</f>
        <v>1714.8999999999999</v>
      </c>
      <c r="AI101" s="519"/>
      <c r="AJ101" s="264"/>
      <c r="AK101" s="264">
        <f>ROUND(SUM(+AE101-AH101),1)</f>
        <v>18.5</v>
      </c>
      <c r="AL101" s="11"/>
      <c r="AM101" s="266">
        <f>ROUND(IF(AH101=0,0,AK101/ABS(AH101)),3)</f>
        <v>1.0999999999999999E-2</v>
      </c>
      <c r="AN101" s="405"/>
    </row>
    <row r="102" spans="1:40" ht="15" customHeight="1">
      <c r="A102" s="291"/>
      <c r="B102" s="291" t="s">
        <v>510</v>
      </c>
      <c r="C102" s="291"/>
      <c r="D102" s="287">
        <f>'Exhibit G State'!D102+'Exhibit G Federal'!D73</f>
        <v>398.4</v>
      </c>
      <c r="E102" s="287"/>
      <c r="F102" s="287">
        <f>'Exhibit G State'!F102+'Exhibit G Federal'!F73</f>
        <v>356.9</v>
      </c>
      <c r="G102" s="287"/>
      <c r="H102" s="287">
        <f>'Exhibit G State'!H102+'Exhibit G Federal'!H73</f>
        <v>630.9</v>
      </c>
      <c r="J102" s="287"/>
      <c r="L102" s="287"/>
      <c r="N102" s="287"/>
      <c r="P102" s="287"/>
      <c r="R102" s="287"/>
      <c r="S102" s="287"/>
      <c r="T102" s="287"/>
      <c r="U102" s="287"/>
      <c r="V102" s="287"/>
      <c r="W102" s="287"/>
      <c r="X102" s="287"/>
      <c r="Y102" s="287"/>
      <c r="Z102" s="287"/>
      <c r="AA102" s="287"/>
      <c r="AB102" s="264">
        <v>0</v>
      </c>
      <c r="AC102" s="264"/>
      <c r="AD102" s="523"/>
      <c r="AE102" s="264">
        <f>ROUND(SUM(D102:Z102),1)</f>
        <v>1386.2</v>
      </c>
      <c r="AF102" s="264"/>
      <c r="AG102" s="523"/>
      <c r="AH102" s="287">
        <f>'Exhibit G State'!AF102+'Exhibit G Federal'!AF73</f>
        <v>1269.5</v>
      </c>
      <c r="AI102" s="519"/>
      <c r="AJ102" s="264"/>
      <c r="AK102" s="264">
        <f>ROUND(SUM(+AE102-AH102),1)</f>
        <v>116.7</v>
      </c>
      <c r="AL102" s="11"/>
      <c r="AM102" s="266">
        <f>ROUND(IF(AH102=0,0,AK102/ABS(AH102)),3)</f>
        <v>9.1999999999999998E-2</v>
      </c>
      <c r="AN102" s="405"/>
    </row>
    <row r="103" spans="1:40" ht="15" customHeight="1">
      <c r="A103" s="291"/>
      <c r="B103" s="291" t="s">
        <v>511</v>
      </c>
      <c r="C103" s="291"/>
      <c r="D103" s="287">
        <f>'Exhibit G State'!D103+'Exhibit G Federal'!D74</f>
        <v>34.5</v>
      </c>
      <c r="E103" s="287"/>
      <c r="F103" s="287">
        <f>'Exhibit G State'!F103+'Exhibit G Federal'!F74</f>
        <v>36.099999999999994</v>
      </c>
      <c r="G103" s="287"/>
      <c r="H103" s="287">
        <f>'Exhibit G State'!H103+'Exhibit G Federal'!H74</f>
        <v>345.7</v>
      </c>
      <c r="J103" s="287"/>
      <c r="L103" s="287"/>
      <c r="N103" s="287"/>
      <c r="P103" s="287"/>
      <c r="R103" s="287"/>
      <c r="S103" s="287"/>
      <c r="T103" s="287"/>
      <c r="U103" s="287"/>
      <c r="V103" s="287"/>
      <c r="W103" s="287"/>
      <c r="X103" s="287"/>
      <c r="Y103" s="287"/>
      <c r="Z103" s="287"/>
      <c r="AA103" s="287"/>
      <c r="AB103" s="264">
        <v>0</v>
      </c>
      <c r="AC103" s="264"/>
      <c r="AD103" s="523"/>
      <c r="AE103" s="264">
        <f>ROUND(SUM(D103:Z103),1)</f>
        <v>416.3</v>
      </c>
      <c r="AF103" s="264"/>
      <c r="AG103" s="523"/>
      <c r="AH103" s="287">
        <f>'Exhibit G State'!AF103+'Exhibit G Federal'!AF74</f>
        <v>396.5</v>
      </c>
      <c r="AI103" s="519"/>
      <c r="AJ103" s="264"/>
      <c r="AK103" s="264">
        <f>ROUND(SUM(+AE103-AH103),1)</f>
        <v>19.8</v>
      </c>
      <c r="AL103" s="11"/>
      <c r="AM103" s="266">
        <f>ROUND(IF(AH103=0,0,AK103/ABS(AH103)),3)</f>
        <v>0.05</v>
      </c>
      <c r="AN103" s="405"/>
    </row>
    <row r="104" spans="1:40" ht="15" customHeight="1">
      <c r="A104" s="291"/>
      <c r="B104" s="62" t="s">
        <v>1419</v>
      </c>
      <c r="C104" s="291"/>
      <c r="D104" s="287"/>
      <c r="E104" s="287"/>
      <c r="F104" s="287"/>
      <c r="G104" s="287"/>
      <c r="H104" s="287"/>
      <c r="J104" s="287"/>
      <c r="L104" s="287"/>
      <c r="N104" s="287"/>
      <c r="P104" s="287"/>
      <c r="R104" s="287"/>
      <c r="S104" s="287"/>
      <c r="T104" s="287"/>
      <c r="U104" s="287"/>
      <c r="V104" s="287"/>
      <c r="W104" s="287"/>
      <c r="X104" s="287"/>
      <c r="Y104" s="287"/>
      <c r="Z104" s="287"/>
      <c r="AA104" s="287"/>
      <c r="AB104" s="264"/>
      <c r="AC104" s="264"/>
      <c r="AD104" s="523"/>
      <c r="AE104" s="264"/>
      <c r="AF104" s="264"/>
      <c r="AG104" s="523"/>
      <c r="AH104" s="287"/>
      <c r="AI104" s="519"/>
      <c r="AJ104" s="264"/>
      <c r="AK104" s="264"/>
      <c r="AL104" s="11"/>
      <c r="AM104" s="266"/>
      <c r="AN104" s="405"/>
    </row>
    <row r="105" spans="1:40" ht="15" customHeight="1">
      <c r="A105" s="291"/>
      <c r="B105" s="62" t="s">
        <v>1458</v>
      </c>
      <c r="C105" s="291"/>
      <c r="D105" s="287">
        <f>'Exhibit G Federal'!D76</f>
        <v>0</v>
      </c>
      <c r="E105" s="287"/>
      <c r="F105" s="287">
        <f>'Exhibit G Federal'!F76</f>
        <v>0</v>
      </c>
      <c r="G105" s="287"/>
      <c r="H105" s="287">
        <f>'Exhibit G Federal'!H76</f>
        <v>0</v>
      </c>
      <c r="J105" s="287"/>
      <c r="L105" s="287"/>
      <c r="N105" s="287"/>
      <c r="P105" s="287"/>
      <c r="R105" s="287"/>
      <c r="S105" s="287"/>
      <c r="T105" s="287"/>
      <c r="U105" s="287"/>
      <c r="V105" s="287"/>
      <c r="W105" s="287"/>
      <c r="X105" s="287"/>
      <c r="Y105" s="287"/>
      <c r="Z105" s="287"/>
      <c r="AA105" s="287"/>
      <c r="AB105" s="264">
        <v>0</v>
      </c>
      <c r="AC105" s="264"/>
      <c r="AD105" s="523"/>
      <c r="AE105" s="264">
        <f>ROUND(SUM(D105:Z105),1)</f>
        <v>0</v>
      </c>
      <c r="AF105" s="264"/>
      <c r="AG105" s="523"/>
      <c r="AH105" s="287">
        <f>'Exhibit G Federal'!AF76</f>
        <v>0</v>
      </c>
      <c r="AI105" s="519"/>
      <c r="AJ105" s="264"/>
      <c r="AK105" s="264">
        <f>ROUND(SUM(+AE105-AH105),1)</f>
        <v>0</v>
      </c>
      <c r="AL105" s="11"/>
      <c r="AM105" s="266">
        <f>ROUND(IF(AH105=0,0,AK105/ABS(AH105)),3)</f>
        <v>0</v>
      </c>
      <c r="AN105" s="405"/>
    </row>
    <row r="106" spans="1:40" ht="15" customHeight="1">
      <c r="A106" s="291"/>
      <c r="B106" s="291" t="s">
        <v>513</v>
      </c>
      <c r="C106" s="291"/>
      <c r="D106" s="287">
        <f>'Exhibit G State'!D104+'Exhibit G Federal'!D77</f>
        <v>0</v>
      </c>
      <c r="E106" s="287"/>
      <c r="F106" s="287">
        <f>'Exhibit G State'!F104+'Exhibit G Federal'!F77</f>
        <v>0</v>
      </c>
      <c r="G106" s="287"/>
      <c r="H106" s="287">
        <f>'Exhibit G State'!H104+'Exhibit G Federal'!H77</f>
        <v>0</v>
      </c>
      <c r="J106" s="287"/>
      <c r="L106" s="287"/>
      <c r="N106" s="287"/>
      <c r="P106" s="287"/>
      <c r="R106" s="287"/>
      <c r="S106" s="287"/>
      <c r="T106" s="287"/>
      <c r="U106" s="287"/>
      <c r="V106" s="287"/>
      <c r="W106" s="287"/>
      <c r="X106" s="287"/>
      <c r="Y106" s="287"/>
      <c r="Z106" s="287"/>
      <c r="AA106" s="287"/>
      <c r="AB106" s="382">
        <v>0</v>
      </c>
      <c r="AC106" s="1532"/>
      <c r="AD106" s="523"/>
      <c r="AE106" s="264">
        <f>ROUND(SUM(D106:Z106),1)</f>
        <v>0</v>
      </c>
      <c r="AF106" s="264"/>
      <c r="AG106" s="523"/>
      <c r="AH106" s="287">
        <f>'Exhibit G State'!AF104+'Exhibit G Federal'!AF77</f>
        <v>0</v>
      </c>
      <c r="AI106" s="519"/>
      <c r="AJ106" s="264"/>
      <c r="AK106" s="264">
        <f>ROUND(SUM(+AE106-AH106),1)</f>
        <v>0</v>
      </c>
      <c r="AL106" s="11"/>
      <c r="AM106" s="266">
        <f>ROUND(IF(AH106=0,0,AK106/ABS(AH106)),3)</f>
        <v>0</v>
      </c>
      <c r="AN106" s="405"/>
    </row>
    <row r="107" spans="1:40" ht="15" customHeight="1">
      <c r="A107" s="291"/>
      <c r="B107" s="291"/>
      <c r="C107" s="291"/>
      <c r="D107" s="615"/>
      <c r="F107" s="615"/>
      <c r="H107" s="615"/>
      <c r="J107" s="615"/>
      <c r="L107" s="615"/>
      <c r="N107" s="615"/>
      <c r="P107" s="615"/>
      <c r="R107" s="615"/>
      <c r="T107" s="615"/>
      <c r="V107" s="615"/>
      <c r="X107" s="615"/>
      <c r="Z107" s="615"/>
      <c r="AA107" s="264"/>
      <c r="AB107" s="264"/>
      <c r="AC107" s="1532"/>
      <c r="AD107" s="523"/>
      <c r="AE107" s="615"/>
      <c r="AF107" s="264"/>
      <c r="AG107" s="523"/>
      <c r="AH107" s="615"/>
      <c r="AI107" s="519"/>
      <c r="AJ107" s="264"/>
      <c r="AK107" s="1036"/>
      <c r="AL107" s="364"/>
      <c r="AM107" s="1037"/>
      <c r="AN107" s="405"/>
    </row>
    <row r="108" spans="1:40" ht="15" customHeight="1">
      <c r="A108" s="291"/>
      <c r="B108" s="3" t="s">
        <v>457</v>
      </c>
      <c r="C108" s="291"/>
      <c r="D108" s="13">
        <f>ROUND(SUM(D99:D106),1)</f>
        <v>9213.2000000000007</v>
      </c>
      <c r="F108" s="13">
        <f>ROUND(SUM(F99:F106),1)</f>
        <v>9890.5</v>
      </c>
      <c r="H108" s="13">
        <f>ROUND(SUM(H99:H106),1)</f>
        <v>11655.3</v>
      </c>
      <c r="J108" s="13">
        <f>ROUND(SUM(J99:J106),1)</f>
        <v>0</v>
      </c>
      <c r="L108" s="13">
        <f>ROUND(SUM(L99:L106),1)</f>
        <v>0</v>
      </c>
      <c r="N108" s="13">
        <f>ROUND(SUM(N99:N106),1)</f>
        <v>0</v>
      </c>
      <c r="P108" s="13">
        <f>ROUND(SUM(P99:P106),1)</f>
        <v>0</v>
      </c>
      <c r="R108" s="13">
        <f>ROUND(SUM(R99:R106),1)</f>
        <v>0</v>
      </c>
      <c r="T108" s="13">
        <f>ROUND(SUM(T99:T106),1)</f>
        <v>0</v>
      </c>
      <c r="V108" s="13">
        <f>ROUND(SUM(V99:V106),1)</f>
        <v>0</v>
      </c>
      <c r="X108" s="13">
        <f>ROUND(SUM(X99:X106),1)</f>
        <v>0</v>
      </c>
      <c r="Z108" s="13">
        <f>ROUND(SUM(Z99:Z106),1)</f>
        <v>0</v>
      </c>
      <c r="AA108" s="13"/>
      <c r="AB108" s="357">
        <v>0</v>
      </c>
      <c r="AC108" s="1533"/>
      <c r="AD108" s="14"/>
      <c r="AE108" s="13">
        <f>ROUND(SUM(AE99:AE106),1)</f>
        <v>30759</v>
      </c>
      <c r="AF108" s="13"/>
      <c r="AG108" s="14"/>
      <c r="AH108" s="13">
        <f>ROUND(SUM(AH99:AH106),1)</f>
        <v>29680.3</v>
      </c>
      <c r="AI108" s="75"/>
      <c r="AJ108" s="13"/>
      <c r="AK108" s="357">
        <f>ROUND(SUM(AK99:AK106),1)</f>
        <v>1078.7</v>
      </c>
      <c r="AL108" s="57"/>
      <c r="AM108" s="368">
        <f>ROUND(SUM(+AK108/AH108),3)</f>
        <v>3.5999999999999997E-2</v>
      </c>
      <c r="AN108" s="405"/>
    </row>
    <row r="109" spans="1:40" ht="15" customHeight="1">
      <c r="A109" s="291"/>
      <c r="B109" s="291"/>
      <c r="C109" s="291"/>
      <c r="D109" s="615"/>
      <c r="F109" s="615"/>
      <c r="H109" s="615"/>
      <c r="J109" s="615"/>
      <c r="L109" s="615"/>
      <c r="N109" s="615"/>
      <c r="P109" s="615"/>
      <c r="R109" s="615"/>
      <c r="T109" s="615"/>
      <c r="V109" s="615"/>
      <c r="X109" s="615"/>
      <c r="Z109" s="615"/>
      <c r="AA109" s="264"/>
      <c r="AB109" s="264"/>
      <c r="AC109" s="1532"/>
      <c r="AD109" s="523"/>
      <c r="AE109" s="615"/>
      <c r="AF109" s="264"/>
      <c r="AG109" s="523"/>
      <c r="AH109" s="615"/>
      <c r="AI109" s="519"/>
      <c r="AJ109" s="264"/>
      <c r="AK109" s="264"/>
      <c r="AL109" s="364"/>
      <c r="AM109" s="283"/>
      <c r="AN109" s="405"/>
    </row>
    <row r="110" spans="1:40" ht="15" customHeight="1">
      <c r="A110" s="291"/>
      <c r="B110" s="3" t="s">
        <v>458</v>
      </c>
      <c r="C110" s="291"/>
      <c r="D110" s="264"/>
      <c r="F110" s="264"/>
      <c r="H110" s="264"/>
      <c r="J110" s="264"/>
      <c r="L110" s="264"/>
      <c r="N110" s="264"/>
      <c r="P110" s="264"/>
      <c r="R110" s="264"/>
      <c r="T110" s="264"/>
      <c r="V110" s="264"/>
      <c r="X110" s="264"/>
      <c r="Z110" s="264"/>
      <c r="AA110" s="264"/>
      <c r="AB110" s="264"/>
      <c r="AC110" s="1532"/>
      <c r="AD110" s="523"/>
      <c r="AE110" s="264" t="s">
        <v>514</v>
      </c>
      <c r="AF110" s="882"/>
      <c r="AG110" s="883"/>
      <c r="AH110" s="264"/>
      <c r="AI110" s="888"/>
      <c r="AJ110" s="12"/>
      <c r="AK110" s="264"/>
      <c r="AL110" s="364"/>
      <c r="AM110" s="283"/>
      <c r="AN110" s="405"/>
    </row>
    <row r="111" spans="1:40" ht="15" customHeight="1">
      <c r="A111" s="291"/>
      <c r="B111" s="3" t="s">
        <v>144</v>
      </c>
      <c r="C111" s="291"/>
      <c r="D111" s="13">
        <f>ROUND(SUM(D85-D108),1)</f>
        <v>2458.6</v>
      </c>
      <c r="F111" s="13">
        <f>ROUND(SUM(F85-F108),1)</f>
        <v>422.4</v>
      </c>
      <c r="G111" s="13"/>
      <c r="H111" s="13">
        <f>ROUND(SUM(H85-H108),1)</f>
        <v>4718.8</v>
      </c>
      <c r="J111" s="13">
        <f>ROUND(SUM(J85-J108),1)</f>
        <v>0</v>
      </c>
      <c r="L111" s="13">
        <f>ROUND(SUM(L85-L108),1)</f>
        <v>0</v>
      </c>
      <c r="N111" s="13">
        <f>ROUND(SUM(N85-N108),1)</f>
        <v>0</v>
      </c>
      <c r="P111" s="13">
        <f>ROUND(SUM(P85-P108),1)</f>
        <v>0</v>
      </c>
      <c r="R111" s="13">
        <f>ROUND(SUM(R85-R108),1)</f>
        <v>0</v>
      </c>
      <c r="T111" s="13">
        <f>ROUND(SUM(T85-T108),1)</f>
        <v>0</v>
      </c>
      <c r="V111" s="13">
        <f>ROUND(SUM(V85-V108),1)</f>
        <v>0</v>
      </c>
      <c r="X111" s="13">
        <f>ROUND(SUM(X85-X108),1)</f>
        <v>0</v>
      </c>
      <c r="Z111" s="13">
        <f>ROUND(SUM(Z85-Z108),1)</f>
        <v>0</v>
      </c>
      <c r="AA111" s="13"/>
      <c r="AB111" s="357">
        <v>0</v>
      </c>
      <c r="AC111" s="1533"/>
      <c r="AD111" s="14"/>
      <c r="AE111" s="13">
        <f>ROUND(SUM(AE85-AE108),1)</f>
        <v>7599.8</v>
      </c>
      <c r="AF111" s="13"/>
      <c r="AG111" s="14"/>
      <c r="AH111" s="13">
        <f>ROUND(SUM(AH85-AH108),1)</f>
        <v>1972.9</v>
      </c>
      <c r="AI111" s="75"/>
      <c r="AJ111" s="13"/>
      <c r="AK111" s="357">
        <f>ROUND(SUM(AK85-AK108),1)</f>
        <v>5626.9</v>
      </c>
      <c r="AL111" s="57"/>
      <c r="AM111" s="611">
        <f>ROUND(SUM(+AK111/ABS(AH111)),3)</f>
        <v>2.8519999999999999</v>
      </c>
      <c r="AN111" s="405"/>
    </row>
    <row r="112" spans="1:40" ht="15" customHeight="1">
      <c r="A112" s="291"/>
      <c r="B112" s="291"/>
      <c r="C112" s="291"/>
      <c r="D112" s="615"/>
      <c r="F112" s="615"/>
      <c r="H112" s="615"/>
      <c r="J112" s="615"/>
      <c r="L112" s="615"/>
      <c r="N112" s="615"/>
      <c r="P112" s="615"/>
      <c r="R112" s="615"/>
      <c r="T112" s="615"/>
      <c r="V112" s="615"/>
      <c r="X112" s="615"/>
      <c r="Z112" s="615"/>
      <c r="AA112" s="264"/>
      <c r="AB112" s="264"/>
      <c r="AC112" s="1532"/>
      <c r="AD112" s="523"/>
      <c r="AE112" s="615"/>
      <c r="AF112" s="264"/>
      <c r="AG112" s="523"/>
      <c r="AH112" s="615"/>
      <c r="AI112" s="519"/>
      <c r="AJ112" s="264"/>
      <c r="AK112" s="264"/>
      <c r="AL112" s="364"/>
      <c r="AM112" s="283"/>
      <c r="AN112" s="405"/>
    </row>
    <row r="113" spans="1:40" ht="15" customHeight="1">
      <c r="A113" s="291"/>
      <c r="B113" s="3" t="s">
        <v>145</v>
      </c>
      <c r="C113" s="291"/>
      <c r="D113" s="264"/>
      <c r="F113" s="264"/>
      <c r="H113" s="264"/>
      <c r="J113" s="264"/>
      <c r="L113" s="264"/>
      <c r="N113" s="264"/>
      <c r="P113" s="264"/>
      <c r="R113" s="264"/>
      <c r="T113" s="264"/>
      <c r="V113" s="264"/>
      <c r="X113" s="264"/>
      <c r="Z113" s="264"/>
      <c r="AA113" s="264"/>
      <c r="AB113" s="264"/>
      <c r="AC113" s="1532"/>
      <c r="AD113" s="523"/>
      <c r="AE113" s="264"/>
      <c r="AF113" s="264"/>
      <c r="AG113" s="523"/>
      <c r="AH113" s="264"/>
      <c r="AI113" s="519"/>
      <c r="AJ113" s="264"/>
      <c r="AK113" s="264"/>
      <c r="AL113" s="364"/>
      <c r="AM113" s="283"/>
      <c r="AN113" s="405"/>
    </row>
    <row r="114" spans="1:40" s="1117" customFormat="1" ht="15" customHeight="1">
      <c r="A114" s="372"/>
      <c r="B114" s="1201" t="s">
        <v>515</v>
      </c>
      <c r="C114" s="1201"/>
      <c r="D114" s="1209">
        <f>+'Exhibit G State'!D112+'Exhibit G Federal'!D85</f>
        <v>243.1</v>
      </c>
      <c r="E114" s="1209"/>
      <c r="F114" s="1209">
        <f>+'Exhibit G State'!F112+'Exhibit G Federal'!F85</f>
        <v>433.1</v>
      </c>
      <c r="G114" s="1209"/>
      <c r="H114" s="1209">
        <f>+'Exhibit G State'!H112+'Exhibit G Federal'!H85</f>
        <v>748.59999999999991</v>
      </c>
      <c r="I114" s="1120"/>
      <c r="J114" s="1209"/>
      <c r="K114" s="1119"/>
      <c r="L114" s="1209"/>
      <c r="M114" s="1119"/>
      <c r="N114" s="1209"/>
      <c r="O114" s="1119"/>
      <c r="P114" s="1209"/>
      <c r="Q114" s="1119"/>
      <c r="R114" s="287"/>
      <c r="S114" s="1120"/>
      <c r="T114" s="287"/>
      <c r="U114" s="1121"/>
      <c r="V114" s="287"/>
      <c r="W114" s="1120"/>
      <c r="X114" s="287"/>
      <c r="Y114" s="1120"/>
      <c r="Z114" s="287"/>
      <c r="AA114" s="1122"/>
      <c r="AB114" s="1192">
        <v>-123.9</v>
      </c>
      <c r="AC114" s="1786"/>
      <c r="AD114" s="1123"/>
      <c r="AE114" s="1193">
        <f>ROUND(SUM(D114:AB114),1)</f>
        <v>1300.9000000000001</v>
      </c>
      <c r="AF114" s="610"/>
      <c r="AG114" s="1123"/>
      <c r="AH114" s="1195">
        <f>'Exhibit G State'!AF112+'Exhibit G Federal'!AF85-138.8</f>
        <v>1360.4</v>
      </c>
      <c r="AI114" s="1125"/>
      <c r="AJ114" s="610"/>
      <c r="AK114" s="882">
        <f>ROUND(SUM(+AE114-AH114),1)</f>
        <v>-59.5</v>
      </c>
      <c r="AL114" s="1126"/>
      <c r="AM114" s="266">
        <f>ROUND(IF(AH114=0,0,AK114/ABS(AH114)),3)</f>
        <v>-4.3999999999999997E-2</v>
      </c>
      <c r="AN114" s="1492"/>
    </row>
    <row r="115" spans="1:40" ht="15" customHeight="1">
      <c r="A115" s="291"/>
      <c r="B115" s="291" t="s">
        <v>516</v>
      </c>
      <c r="C115" s="291"/>
      <c r="D115" s="1038">
        <f>+'Exhibit G State'!D113+'Exhibit G Federal'!D86</f>
        <v>-275.39999999999998</v>
      </c>
      <c r="E115" s="1038"/>
      <c r="F115" s="1038">
        <f>+'Exhibit G State'!F113+'Exhibit G Federal'!F86</f>
        <v>-40.900000000000006</v>
      </c>
      <c r="G115" s="1038"/>
      <c r="H115" s="1038">
        <f>+'Exhibit G State'!H113+'Exhibit G Federal'!H86</f>
        <v>-360.3</v>
      </c>
      <c r="J115" s="1209"/>
      <c r="L115" s="1038"/>
      <c r="N115" s="1038"/>
      <c r="P115" s="1038"/>
      <c r="R115" s="287"/>
      <c r="S115" s="1038"/>
      <c r="T115" s="287"/>
      <c r="U115" s="1039"/>
      <c r="V115" s="287"/>
      <c r="W115" s="1038"/>
      <c r="X115" s="287"/>
      <c r="Y115" s="1038"/>
      <c r="Z115" s="287"/>
      <c r="AA115" s="288"/>
      <c r="AB115" s="985">
        <v>123.9</v>
      </c>
      <c r="AC115" s="1787"/>
      <c r="AD115" s="523"/>
      <c r="AE115" s="264">
        <f>ROUND(SUM(D115:AB115),1)</f>
        <v>-552.70000000000005</v>
      </c>
      <c r="AF115" s="264"/>
      <c r="AG115" s="523"/>
      <c r="AH115" s="287">
        <f>'Exhibit G State'!AF113+'Exhibit G Federal'!AF86+138.8</f>
        <v>-605.29999999999995</v>
      </c>
      <c r="AI115" s="519"/>
      <c r="AJ115" s="264"/>
      <c r="AK115" s="264">
        <f>ROUND(SUM(+AE115-AH115)*-1,1)</f>
        <v>-52.6</v>
      </c>
      <c r="AL115" s="11"/>
      <c r="AM115" s="266">
        <f>ROUND(IF(AH115=0,0,AK115/ABS(AH115)),3)</f>
        <v>-8.6999999999999994E-2</v>
      </c>
      <c r="AN115" s="1492"/>
    </row>
    <row r="116" spans="1:40" ht="15" customHeight="1">
      <c r="A116" s="291"/>
      <c r="B116" s="291"/>
      <c r="C116" s="291"/>
      <c r="D116" s="615"/>
      <c r="F116" s="615"/>
      <c r="H116" s="615"/>
      <c r="J116" s="615"/>
      <c r="L116" s="615"/>
      <c r="N116" s="615"/>
      <c r="P116" s="615"/>
      <c r="R116" s="615"/>
      <c r="T116" s="615"/>
      <c r="V116" s="615"/>
      <c r="X116" s="615"/>
      <c r="Z116" s="615"/>
      <c r="AA116" s="264"/>
      <c r="AB116" s="264"/>
      <c r="AC116" s="1532"/>
      <c r="AD116" s="523"/>
      <c r="AE116" s="615"/>
      <c r="AF116" s="264"/>
      <c r="AG116" s="523"/>
      <c r="AH116" s="615"/>
      <c r="AI116" s="519"/>
      <c r="AJ116" s="264"/>
      <c r="AK116" s="1036"/>
      <c r="AL116" s="364"/>
      <c r="AM116" s="1037"/>
      <c r="AN116" s="405"/>
    </row>
    <row r="117" spans="1:40" ht="15" customHeight="1">
      <c r="A117" s="291"/>
      <c r="B117" s="3" t="s">
        <v>517</v>
      </c>
      <c r="C117" s="291"/>
      <c r="D117" s="13">
        <f>ROUND(SUM(D114:D115),1)</f>
        <v>-32.299999999999997</v>
      </c>
      <c r="F117" s="13">
        <f>ROUND(SUM(F114:F115),1)</f>
        <v>392.2</v>
      </c>
      <c r="H117" s="13">
        <f>ROUND(SUM(H114:H115),1)</f>
        <v>388.3</v>
      </c>
      <c r="J117" s="13">
        <f>ROUND(SUM(J114:J115),1)</f>
        <v>0</v>
      </c>
      <c r="L117" s="13">
        <f>ROUND(SUM(L114:L115),1)</f>
        <v>0</v>
      </c>
      <c r="N117" s="13">
        <f>ROUND(SUM(N114:N115),1)</f>
        <v>0</v>
      </c>
      <c r="P117" s="13">
        <f>ROUND(SUM(P114:P115),1)</f>
        <v>0</v>
      </c>
      <c r="R117" s="13">
        <f>ROUND(SUM(R114:R115),1)</f>
        <v>0</v>
      </c>
      <c r="T117" s="13">
        <f>ROUND(SUM(T114:T115),1)</f>
        <v>0</v>
      </c>
      <c r="V117" s="13">
        <f>ROUND(SUM(V114:V115),1)</f>
        <v>0</v>
      </c>
      <c r="X117" s="13">
        <f>ROUND(SUM(X114:X115),1)</f>
        <v>0</v>
      </c>
      <c r="Z117" s="13">
        <f>ROUND(SUM(Z114:Z115),1)</f>
        <v>0</v>
      </c>
      <c r="AA117" s="13"/>
      <c r="AB117" s="357">
        <f>ROUND(SUM(AB114:AB115),1)</f>
        <v>0</v>
      </c>
      <c r="AC117" s="1533"/>
      <c r="AD117" s="14"/>
      <c r="AE117" s="13">
        <f>ROUND(SUM(AE114:AE115),1)</f>
        <v>748.2</v>
      </c>
      <c r="AF117" s="13"/>
      <c r="AG117" s="14"/>
      <c r="AH117" s="13">
        <f>ROUND(SUM(AH114:AH115),1)</f>
        <v>755.1</v>
      </c>
      <c r="AI117" s="75"/>
      <c r="AJ117" s="13"/>
      <c r="AK117" s="357">
        <f>ROUND(SUM(AE117-AH117),1)</f>
        <v>-6.9</v>
      </c>
      <c r="AL117" s="40"/>
      <c r="AM117" s="368">
        <f>ROUND(SUM(+AK117/AH117),3)</f>
        <v>-8.9999999999999993E-3</v>
      </c>
      <c r="AN117" s="405"/>
    </row>
    <row r="118" spans="1:40" ht="15" customHeight="1">
      <c r="A118" s="291"/>
      <c r="B118" s="291"/>
      <c r="C118" s="291"/>
      <c r="D118" s="615"/>
      <c r="F118" s="615"/>
      <c r="H118" s="615"/>
      <c r="J118" s="615"/>
      <c r="L118" s="615"/>
      <c r="N118" s="615"/>
      <c r="P118" s="615"/>
      <c r="R118" s="615"/>
      <c r="T118" s="615"/>
      <c r="V118" s="615"/>
      <c r="X118" s="615"/>
      <c r="Z118" s="615"/>
      <c r="AA118" s="264"/>
      <c r="AB118" s="264"/>
      <c r="AC118" s="1532"/>
      <c r="AD118" s="523"/>
      <c r="AE118" s="615"/>
      <c r="AF118" s="264"/>
      <c r="AG118" s="523"/>
      <c r="AH118" s="615"/>
      <c r="AI118" s="519"/>
      <c r="AJ118" s="264"/>
      <c r="AK118" s="264"/>
      <c r="AL118" s="364"/>
      <c r="AM118" s="283"/>
      <c r="AN118" s="405"/>
    </row>
    <row r="119" spans="1:40" ht="15" customHeight="1">
      <c r="A119" s="291"/>
      <c r="B119" s="3" t="s">
        <v>469</v>
      </c>
      <c r="C119" s="291"/>
      <c r="D119" s="264"/>
      <c r="F119" s="264"/>
      <c r="H119" s="264"/>
      <c r="J119" s="264"/>
      <c r="L119" s="264"/>
      <c r="N119" s="264"/>
      <c r="P119" s="264"/>
      <c r="R119" s="264"/>
      <c r="T119" s="264"/>
      <c r="V119" s="264"/>
      <c r="X119" s="264"/>
      <c r="Z119" s="264"/>
      <c r="AA119" s="264"/>
      <c r="AB119" s="264"/>
      <c r="AC119" s="1532"/>
      <c r="AD119" s="523"/>
      <c r="AE119" s="264"/>
      <c r="AF119" s="264"/>
      <c r="AG119" s="523"/>
      <c r="AH119" s="264"/>
      <c r="AI119" s="519"/>
      <c r="AJ119" s="264"/>
      <c r="AK119" s="264"/>
      <c r="AL119" s="364"/>
      <c r="AM119" s="283"/>
      <c r="AN119" s="405"/>
    </row>
    <row r="120" spans="1:40" ht="15" customHeight="1">
      <c r="A120" s="291"/>
      <c r="B120" s="3" t="s">
        <v>1446</v>
      </c>
      <c r="C120" s="291"/>
      <c r="D120" s="264"/>
      <c r="F120" s="264"/>
      <c r="H120" s="264"/>
      <c r="J120" s="264"/>
      <c r="L120" s="264"/>
      <c r="N120" s="264"/>
      <c r="P120" s="264"/>
      <c r="R120" s="264"/>
      <c r="T120" s="264"/>
      <c r="V120" s="264"/>
      <c r="X120" s="264"/>
      <c r="Z120" s="264"/>
      <c r="AA120" s="264"/>
      <c r="AB120" s="264"/>
      <c r="AC120" s="1532"/>
      <c r="AD120" s="523"/>
      <c r="AE120" s="264"/>
      <c r="AF120" s="264"/>
      <c r="AG120" s="523"/>
      <c r="AH120" s="264"/>
      <c r="AI120" s="519"/>
      <c r="AJ120" s="264"/>
      <c r="AK120" s="264"/>
      <c r="AL120" s="364"/>
      <c r="AM120" s="283"/>
      <c r="AN120" s="405"/>
    </row>
    <row r="121" spans="1:40" ht="15" customHeight="1">
      <c r="A121" s="291"/>
      <c r="B121" s="3" t="s">
        <v>518</v>
      </c>
      <c r="C121" s="291"/>
      <c r="D121" s="13">
        <f>ROUND(SUM(D111+D117),1)</f>
        <v>2426.3000000000002</v>
      </c>
      <c r="F121" s="13">
        <f>ROUND(SUM(F111+F117),1)</f>
        <v>814.6</v>
      </c>
      <c r="H121" s="13">
        <f>ROUND(SUM(H111+H117),1)</f>
        <v>5107.1000000000004</v>
      </c>
      <c r="J121" s="13">
        <f>ROUND(SUM(J111+J117),1)</f>
        <v>0</v>
      </c>
      <c r="L121" s="13">
        <f>ROUND(SUM(L111+L117),1)</f>
        <v>0</v>
      </c>
      <c r="N121" s="13">
        <f>ROUND(SUM(N111+N117),1)</f>
        <v>0</v>
      </c>
      <c r="P121" s="13">
        <f>ROUND(SUM(P111+P117),1)</f>
        <v>0</v>
      </c>
      <c r="R121" s="13">
        <f>ROUND(SUM(R111+R117),1)</f>
        <v>0</v>
      </c>
      <c r="T121" s="13">
        <f>ROUND(SUM(T111+T117),1)</f>
        <v>0</v>
      </c>
      <c r="V121" s="13">
        <f>ROUND(SUM(V111+V117),1)</f>
        <v>0</v>
      </c>
      <c r="X121" s="13">
        <f>ROUND(SUM(X111+X117),1)</f>
        <v>0</v>
      </c>
      <c r="Z121" s="13">
        <f>ROUND(SUM(Z111+Z117),1)</f>
        <v>0</v>
      </c>
      <c r="AA121" s="13"/>
      <c r="AB121" s="357">
        <f>ROUND(SUM(AB111+AB117),1)</f>
        <v>0</v>
      </c>
      <c r="AC121" s="1533"/>
      <c r="AD121" s="14"/>
      <c r="AE121" s="13">
        <f>ROUND(SUM(AE111+AE117),1)</f>
        <v>8348</v>
      </c>
      <c r="AF121" s="13"/>
      <c r="AG121" s="14"/>
      <c r="AH121" s="13">
        <f>ROUND(SUM(AH111+AH117),1)</f>
        <v>2728</v>
      </c>
      <c r="AI121" s="75"/>
      <c r="AJ121" s="13"/>
      <c r="AK121" s="357">
        <f>ROUND(SUM(AE121-AH121),1)</f>
        <v>5620</v>
      </c>
      <c r="AL121" s="57"/>
      <c r="AM121" s="611">
        <f>ROUND(SUM(AK121/ABS(AH121)),3)</f>
        <v>2.06</v>
      </c>
      <c r="AN121" s="405"/>
    </row>
    <row r="122" spans="1:40" ht="15" customHeight="1">
      <c r="A122" s="291"/>
      <c r="B122" s="291"/>
      <c r="C122" s="291"/>
      <c r="D122" s="988"/>
      <c r="F122" s="988"/>
      <c r="H122" s="988"/>
      <c r="J122" s="988"/>
      <c r="L122" s="988"/>
      <c r="N122" s="988"/>
      <c r="P122" s="988"/>
      <c r="R122" s="988"/>
      <c r="T122" s="988"/>
      <c r="V122" s="988"/>
      <c r="X122" s="988"/>
      <c r="Z122" s="988"/>
      <c r="AA122" s="364"/>
      <c r="AB122" s="364"/>
      <c r="AC122" s="1534"/>
      <c r="AD122" s="1032"/>
      <c r="AE122" s="988"/>
      <c r="AF122" s="364"/>
      <c r="AG122" s="1032"/>
      <c r="AH122" s="988"/>
      <c r="AI122" s="1033"/>
      <c r="AJ122" s="364"/>
      <c r="AK122" s="364"/>
      <c r="AL122" s="364"/>
      <c r="AM122" s="283"/>
      <c r="AN122" s="405"/>
    </row>
    <row r="123" spans="1:40" ht="15" customHeight="1" thickBot="1">
      <c r="A123" s="291"/>
      <c r="B123" s="3" t="s">
        <v>519</v>
      </c>
      <c r="C123" s="291"/>
      <c r="D123" s="20">
        <f>ROUND(SUM(D13+D121),1)</f>
        <v>23634.9</v>
      </c>
      <c r="F123" s="20">
        <f>ROUND(SUM(F13+F121),1)</f>
        <v>24449.5</v>
      </c>
      <c r="H123" s="20">
        <f>ROUND(SUM(H13+H121),1)</f>
        <v>29556.6</v>
      </c>
      <c r="J123" s="20">
        <f>ROUND(SUM(J13+J121),1)</f>
        <v>0</v>
      </c>
      <c r="L123" s="20">
        <f>ROUND(SUM(L13+L121),1)</f>
        <v>0</v>
      </c>
      <c r="N123" s="20">
        <f>ROUND(SUM(N13+N121),1)</f>
        <v>0</v>
      </c>
      <c r="P123" s="20">
        <f>ROUND(SUM(P13+P121),1)</f>
        <v>0</v>
      </c>
      <c r="R123" s="20">
        <f>ROUND(SUM(R13+R121),1)</f>
        <v>0</v>
      </c>
      <c r="T123" s="20">
        <f>ROUND(SUM(T13+T121),1)</f>
        <v>0</v>
      </c>
      <c r="V123" s="20">
        <f>ROUND(SUM(V13+V121),1)</f>
        <v>0</v>
      </c>
      <c r="X123" s="20">
        <f>ROUND(SUM(X13+X121),1)</f>
        <v>0</v>
      </c>
      <c r="Z123" s="20">
        <f>ROUND(SUM(Z13+Z121),1)</f>
        <v>0</v>
      </c>
      <c r="AA123" s="20"/>
      <c r="AB123" s="1531">
        <f>ROUND(SUM(AB13+AB121),1)</f>
        <v>0</v>
      </c>
      <c r="AC123" s="1535"/>
      <c r="AD123" s="21"/>
      <c r="AE123" s="20">
        <f>ROUND(SUM(AE13+AE121),1)</f>
        <v>29556.6</v>
      </c>
      <c r="AF123" s="20"/>
      <c r="AG123" s="21"/>
      <c r="AH123" s="70">
        <f>ROUND(SUM(AH13+AH121),1)</f>
        <v>20847.2</v>
      </c>
      <c r="AI123" s="73"/>
      <c r="AJ123" s="20"/>
      <c r="AK123" s="70">
        <f>ROUND(SUM(AE123-AH123),1)</f>
        <v>8709.4</v>
      </c>
      <c r="AL123" s="45"/>
      <c r="AM123" s="77">
        <f>ROUND(SUM(+AK123/AH123),3)</f>
        <v>0.41799999999999998</v>
      </c>
      <c r="AN123" s="405"/>
    </row>
    <row r="124" spans="1:40" ht="15" customHeight="1" thickTop="1">
      <c r="A124" s="291"/>
      <c r="B124" s="291"/>
      <c r="C124" s="291"/>
      <c r="D124" s="1040"/>
      <c r="F124" s="1040"/>
      <c r="H124" s="1040"/>
      <c r="J124" s="1040"/>
      <c r="L124" s="1040"/>
      <c r="N124" s="1040"/>
      <c r="P124" s="1040"/>
      <c r="R124" s="1040"/>
      <c r="T124" s="1040"/>
      <c r="V124" s="1040"/>
      <c r="X124" s="1040"/>
      <c r="Z124" s="1040"/>
      <c r="AA124" s="405"/>
      <c r="AB124" s="405"/>
      <c r="AC124" s="405"/>
      <c r="AD124" s="405"/>
      <c r="AE124" s="1040"/>
      <c r="AF124" s="405"/>
      <c r="AG124" s="405"/>
      <c r="AH124" s="405"/>
      <c r="AI124" s="405"/>
      <c r="AJ124" s="405"/>
      <c r="AK124" s="405"/>
      <c r="AL124" s="405"/>
      <c r="AM124" s="283"/>
      <c r="AN124" s="405"/>
    </row>
    <row r="125" spans="1:40" ht="15" customHeight="1">
      <c r="A125" s="291"/>
      <c r="B125" s="291"/>
      <c r="C125" s="291"/>
      <c r="D125" s="405"/>
      <c r="F125" s="405"/>
      <c r="H125" s="405"/>
      <c r="J125" s="405"/>
      <c r="L125" s="405"/>
      <c r="N125" s="405"/>
      <c r="P125" s="405"/>
      <c r="R125" s="405"/>
      <c r="T125" s="405"/>
      <c r="V125" s="405"/>
      <c r="X125" s="405"/>
      <c r="Z125" s="405"/>
      <c r="AA125" s="405"/>
      <c r="AB125" s="405" t="s">
        <v>103</v>
      </c>
      <c r="AC125" s="405"/>
      <c r="AD125" s="405"/>
      <c r="AE125" s="405"/>
      <c r="AF125" s="405"/>
      <c r="AG125" s="405"/>
      <c r="AH125" s="405"/>
      <c r="AI125" s="405"/>
      <c r="AJ125" s="405"/>
      <c r="AK125" s="405"/>
      <c r="AL125" s="405"/>
      <c r="AM125" s="283"/>
      <c r="AN125" s="405"/>
    </row>
    <row r="126" spans="1:40" ht="15" customHeight="1">
      <c r="A126" s="364"/>
      <c r="B126" s="364" t="s">
        <v>520</v>
      </c>
      <c r="C126" s="364"/>
      <c r="D126" s="405"/>
      <c r="F126" s="405"/>
      <c r="H126" s="405"/>
      <c r="J126" s="405"/>
      <c r="L126" s="405"/>
      <c r="N126" s="405"/>
      <c r="P126" s="405"/>
      <c r="R126" s="405"/>
      <c r="T126" s="405"/>
      <c r="V126" s="405"/>
      <c r="X126" s="405"/>
      <c r="Z126" s="405"/>
      <c r="AA126" s="405"/>
      <c r="AB126" s="405" t="s">
        <v>103</v>
      </c>
      <c r="AC126" s="405"/>
      <c r="AD126" s="405"/>
      <c r="AE126" s="405"/>
      <c r="AF126" s="405"/>
      <c r="AG126" s="405"/>
      <c r="AH126" s="405"/>
      <c r="AI126" s="405"/>
      <c r="AJ126" s="405"/>
      <c r="AK126" s="405"/>
      <c r="AL126" s="405"/>
      <c r="AM126" s="283"/>
      <c r="AN126" s="405"/>
    </row>
    <row r="127" spans="1:40" ht="15" customHeight="1">
      <c r="A127" s="364"/>
      <c r="B127" s="58"/>
      <c r="C127" s="364"/>
      <c r="D127" s="405"/>
      <c r="F127" s="405"/>
      <c r="H127" s="405"/>
      <c r="J127" s="405"/>
      <c r="L127" s="405"/>
      <c r="N127" s="405"/>
      <c r="P127" s="405"/>
      <c r="R127" s="405"/>
      <c r="T127" s="405"/>
      <c r="V127" s="405"/>
      <c r="X127" s="405"/>
      <c r="Z127" s="405"/>
      <c r="AA127" s="405"/>
      <c r="AB127" s="405"/>
      <c r="AC127" s="405"/>
      <c r="AD127" s="405"/>
      <c r="AE127" s="405"/>
      <c r="AF127" s="405"/>
      <c r="AG127" s="405"/>
      <c r="AH127" s="405"/>
      <c r="AI127" s="405"/>
      <c r="AJ127" s="405"/>
      <c r="AK127" s="405"/>
      <c r="AL127" s="405"/>
      <c r="AM127" s="283"/>
      <c r="AN127" s="405"/>
    </row>
    <row r="128" spans="1:40" ht="15" customHeight="1">
      <c r="H128" s="364"/>
      <c r="J128" s="364"/>
      <c r="L128" s="364"/>
      <c r="N128" s="364"/>
      <c r="P128" s="364"/>
      <c r="R128" s="364"/>
      <c r="T128" s="364"/>
      <c r="V128" s="364"/>
      <c r="X128" s="364"/>
      <c r="Z128" s="364"/>
      <c r="AA128" s="364"/>
      <c r="AB128" s="364"/>
      <c r="AC128" s="364"/>
      <c r="AD128" s="364"/>
      <c r="AE128" s="364"/>
      <c r="AF128" s="364"/>
      <c r="AG128" s="364"/>
      <c r="AH128" s="364"/>
      <c r="AI128" s="364"/>
      <c r="AJ128" s="364"/>
      <c r="AK128" s="364"/>
      <c r="AL128" s="364"/>
      <c r="AM128" s="283"/>
    </row>
  </sheetData>
  <customSheetViews>
    <customSheetView guid="{83D69B98-1714-4D17-901F-87B47BE66947}" scale="80" showPageBreaks="1" showGridLines="0" printArea="1" topLeftCell="J6">
      <selection activeCell="AM118" sqref="AM118"/>
      <rowBreaks count="1" manualBreakCount="1">
        <brk id="86" min="1" max="38" man="1"/>
      </rowBreaks>
      <pageMargins left="0.25" right="0.25" top="0.5" bottom="0.25" header="0" footer="0.25"/>
      <printOptions horizontalCentered="1"/>
      <pageSetup scale="36" firstPageNumber="22" fitToHeight="2" orientation="landscape" useFirstPageNumber="1" r:id="rId1"/>
      <headerFooter scaleWithDoc="0" alignWithMargins="0">
        <oddFooter>&amp;C&amp;8&amp;P</oddFooter>
      </headerFooter>
    </customSheetView>
    <customSheetView guid="{F9AE1502-86F7-4AAA-AE66-F6A75A634C1B}"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2"/>
      <headerFooter scaleWithDoc="0" alignWithMargins="0">
        <oddFooter>&amp;C&amp;8&amp;P</oddFooter>
      </headerFooter>
    </customSheetView>
    <customSheetView guid="{C41E3923-0A88-49D0-AE43-0E74D386A056}"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3"/>
      <headerFooter scaleWithDoc="0" alignWithMargins="0">
        <oddFooter>&amp;C&amp;8&amp;P</oddFooter>
      </headerFooter>
    </customSheetView>
    <customSheetView guid="{1DF171D7-3BFC-49F6-B708-0F91FCFAB6E2}" scale="80" showPageBreaks="1" showGridLines="0" printArea="1" topLeftCell="D84">
      <selection activeCell="Z102" sqref="Z102"/>
      <rowBreaks count="1" manualBreakCount="1">
        <brk id="86" min="1" max="38" man="1"/>
      </rowBreaks>
      <pageMargins left="0.25" right="0.25" top="0.5" bottom="0.25" header="0" footer="0.25"/>
      <printOptions horizontalCentered="1"/>
      <pageSetup scale="36" firstPageNumber="22" fitToHeight="2" orientation="landscape" useFirstPageNumber="1" r:id="rId4"/>
      <headerFooter scaleWithDoc="0" alignWithMargins="0">
        <oddFooter>&amp;C&amp;8&amp;P</oddFooter>
      </headerFooter>
    </customSheetView>
    <customSheetView guid="{9F00D83C-7F4F-41B5-9976-8610D9EBC976}" scale="80" showPageBreaks="1" showGridLines="0" printArea="1" topLeftCell="B98">
      <selection activeCell="AH42" sqref="AH42"/>
      <rowBreaks count="1" manualBreakCount="1">
        <brk id="86" min="1" max="38" man="1"/>
      </rowBreaks>
      <pageMargins left="0.25" right="0.25" top="0.5" bottom="0.25" header="0" footer="0.25"/>
      <printOptions horizontalCentered="1"/>
      <pageSetup scale="36" firstPageNumber="22" fitToHeight="2" orientation="landscape" useFirstPageNumber="1" r:id="rId5"/>
      <headerFooter scaleWithDoc="0" alignWithMargins="0">
        <oddFooter>&amp;C&amp;8&amp;P</oddFooter>
      </headerFooter>
    </customSheetView>
    <customSheetView guid="{D1467C25-646C-4F1A-9353-0E890E575522}" scale="80" showPageBreaks="1" showGridLines="0" printArea="1" topLeftCell="B3">
      <selection activeCell="AH66" sqref="AH66"/>
      <rowBreaks count="1" manualBreakCount="1">
        <brk id="86" min="1" max="38" man="1"/>
      </rowBreaks>
      <pageMargins left="0.25" right="0.25" top="0.5" bottom="0.25" header="0" footer="0.25"/>
      <printOptions horizontalCentered="1"/>
      <pageSetup scale="36" firstPageNumber="22" fitToHeight="2" orientation="landscape" useFirstPageNumber="1" r:id="rId6"/>
      <headerFooter scaleWithDoc="0" alignWithMargins="0">
        <oddFooter>&amp;C&amp;8&amp;P</oddFooter>
      </headerFooter>
    </customSheetView>
    <customSheetView guid="{3A50DD26-AAF5-43D4-97DE-BAE3367A2F29}" scale="80" showPageBreaks="1" showGridLines="0" printArea="1" topLeftCell="L80">
      <selection activeCell="AM74" sqref="AM74"/>
      <rowBreaks count="1" manualBreakCount="1">
        <brk id="86" min="1" max="38" man="1"/>
      </rowBreaks>
      <pageMargins left="0.25" right="0.25" top="0.5" bottom="0.25" header="0" footer="0.25"/>
      <printOptions horizontalCentered="1"/>
      <pageSetup scale="36" firstPageNumber="22" fitToHeight="2" orientation="landscape" useFirstPageNumber="1" r:id="rId7"/>
      <headerFooter scaleWithDoc="0" alignWithMargins="0">
        <oddFooter>&amp;C&amp;8&amp;P</oddFooter>
      </headerFooter>
    </customSheetView>
    <customSheetView guid="{C3636880-B45B-4897-94F2-F91976416934}" scale="80" showPageBreaks="1" showGridLines="0" printArea="1">
      <selection activeCell="B17" sqref="B17"/>
      <rowBreaks count="1" manualBreakCount="1">
        <brk id="86" min="1" max="38" man="1"/>
      </rowBreaks>
      <pageMargins left="0.25" right="0.25" top="0.5" bottom="0.25" header="0" footer="0.25"/>
      <printOptions horizontalCentered="1"/>
      <pageSetup scale="36" firstPageNumber="22" fitToHeight="2" orientation="landscape" useFirstPageNumber="1" r:id="rId8"/>
      <headerFooter scaleWithDoc="0" alignWithMargins="0">
        <oddFooter>&amp;C&amp;8&amp;P</oddFooter>
      </headerFooter>
    </customSheetView>
  </customSheetViews>
  <mergeCells count="1">
    <mergeCell ref="AD9:AM9"/>
  </mergeCells>
  <printOptions horizontalCentered="1"/>
  <pageMargins left="0.25" right="0.25" top="0.5" bottom="0.25" header="0" footer="0.25"/>
  <pageSetup scale="36" firstPageNumber="22" fitToHeight="2" orientation="landscape" useFirstPageNumber="1" r:id="rId9"/>
  <headerFooter scaleWithDoc="0" alignWithMargins="0">
    <oddFooter>&amp;C&amp;8&amp;P</oddFooter>
  </headerFooter>
  <rowBreaks count="1" manualBreakCount="1">
    <brk id="86" min="1" max="38" man="1"/>
  </rowBreaks>
  <customProperties>
    <customPr name="SheetOptions" r:id="rId10"/>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90 AM73 AM71 AM65 AM21 AM25 AM3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J106"/>
  <sheetViews>
    <sheetView showGridLines="0" zoomScale="80" zoomScaleNormal="80" workbookViewId="0"/>
  </sheetViews>
  <sheetFormatPr defaultColWidth="8.88671875" defaultRowHeight="11.25"/>
  <cols>
    <col min="1" max="1" width="35.109375" style="1341" customWidth="1"/>
    <col min="2" max="2" width="9.109375" style="1341" customWidth="1"/>
    <col min="3" max="3" width="5.5546875" style="1341" customWidth="1"/>
    <col min="4" max="4" width="12.88671875" style="1341" bestFit="1" customWidth="1"/>
    <col min="5" max="5" width="1.88671875" style="1341" customWidth="1"/>
    <col min="6" max="6" width="13.44140625" style="1341" customWidth="1"/>
    <col min="7" max="7" width="2.109375" style="1341" customWidth="1"/>
    <col min="8" max="8" width="12.88671875" style="1341" bestFit="1" customWidth="1"/>
    <col min="9" max="9" width="1.88671875" style="1341" customWidth="1"/>
    <col min="10" max="10" width="13.88671875" style="1341" customWidth="1"/>
    <col min="11" max="11" width="1.88671875" style="1341" customWidth="1"/>
    <col min="12" max="12" width="11.88671875" style="1341" customWidth="1"/>
    <col min="13" max="13" width="2" style="1341" customWidth="1"/>
    <col min="14" max="14" width="13.88671875" style="1341" customWidth="1"/>
    <col min="15" max="15" width="1.88671875" style="1341" customWidth="1"/>
    <col min="16" max="16" width="13" style="1341" customWidth="1"/>
    <col min="17" max="17" width="1.88671875" style="1341" customWidth="1"/>
    <col min="18" max="18" width="13.109375" style="1341" customWidth="1"/>
    <col min="19" max="21" width="1.109375" style="1341" customWidth="1"/>
    <col min="22" max="22" width="12.88671875" style="1341" bestFit="1" customWidth="1"/>
    <col min="23" max="23" width="1.88671875" style="1341" customWidth="1"/>
    <col min="24" max="24" width="13.88671875" style="1341" customWidth="1"/>
    <col min="25" max="27" width="1.109375" style="1341" customWidth="1"/>
    <col min="28" max="28" width="12.109375" style="1341" customWidth="1"/>
    <col min="29" max="29" width="1.88671875" style="1341" customWidth="1"/>
    <col min="30" max="30" width="13.88671875" style="1341" customWidth="1"/>
    <col min="31" max="32" width="1" style="1341" customWidth="1"/>
    <col min="33" max="33" width="13.109375" style="1341" bestFit="1" customWidth="1"/>
    <col min="34" max="34" width="1.88671875" style="1341" customWidth="1"/>
    <col min="35" max="35" width="12.88671875" style="1342" customWidth="1"/>
    <col min="36" max="36" width="19.109375" style="1955" customWidth="1"/>
    <col min="37" max="16384" width="8.88671875" style="1343"/>
  </cols>
  <sheetData>
    <row r="1" spans="1:36" ht="15">
      <c r="A1" s="1340" t="s">
        <v>97</v>
      </c>
    </row>
    <row r="2" spans="1:36" ht="15">
      <c r="A2" s="1340"/>
    </row>
    <row r="3" spans="1:36" ht="20.25">
      <c r="A3" s="1344" t="s">
        <v>98</v>
      </c>
      <c r="B3" s="1345"/>
      <c r="C3" s="1345"/>
      <c r="D3" s="1345"/>
      <c r="E3" s="1345"/>
      <c r="F3" s="1345"/>
      <c r="G3" s="1345"/>
      <c r="H3" s="1345"/>
      <c r="I3" s="1345"/>
      <c r="J3" s="1345"/>
      <c r="K3" s="1345"/>
      <c r="L3" s="1345"/>
      <c r="M3" s="1345"/>
      <c r="N3" s="1345"/>
      <c r="O3" s="1345"/>
      <c r="P3" s="1345"/>
      <c r="Q3" s="1345"/>
      <c r="R3" s="1345"/>
      <c r="S3" s="1345"/>
      <c r="T3" s="1345"/>
      <c r="U3" s="1345"/>
      <c r="V3" s="1345"/>
      <c r="W3" s="1345"/>
      <c r="X3" s="1345"/>
      <c r="Y3" s="1345"/>
      <c r="Z3" s="1345"/>
      <c r="AA3" s="1345"/>
      <c r="AB3" s="1345"/>
      <c r="AC3" s="1345"/>
      <c r="AD3" s="1345"/>
      <c r="AE3" s="1345"/>
      <c r="AF3" s="1345"/>
      <c r="AG3" s="1345"/>
      <c r="AH3" s="1345"/>
      <c r="AI3" s="1346" t="s">
        <v>99</v>
      </c>
      <c r="AJ3" s="1956"/>
    </row>
    <row r="4" spans="1:36" ht="20.25" customHeight="1">
      <c r="A4" s="1992" t="s">
        <v>100</v>
      </c>
      <c r="B4" s="1191"/>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956"/>
    </row>
    <row r="5" spans="1:36" ht="20.25">
      <c r="A5" s="1992" t="s">
        <v>101</v>
      </c>
      <c r="B5" s="1993"/>
      <c r="C5" s="1993"/>
      <c r="D5" s="1993"/>
      <c r="E5" s="1993"/>
      <c r="F5" s="1993"/>
      <c r="G5" s="1993"/>
      <c r="H5" s="1993"/>
      <c r="I5" s="1993"/>
      <c r="J5" s="1993"/>
      <c r="K5" s="1993"/>
      <c r="L5" s="1993"/>
      <c r="M5" s="1993"/>
      <c r="N5" s="1993"/>
      <c r="O5" s="1993"/>
      <c r="P5" s="1993"/>
      <c r="Q5" s="1993"/>
      <c r="R5" s="1993"/>
      <c r="S5" s="1993"/>
      <c r="T5" s="1993"/>
      <c r="U5" s="1993"/>
      <c r="V5" s="1993"/>
      <c r="W5" s="1993"/>
      <c r="X5" s="1993"/>
      <c r="Y5" s="1993"/>
      <c r="Z5" s="1993"/>
      <c r="AA5" s="1993"/>
      <c r="AB5" s="1993"/>
      <c r="AC5" s="1993"/>
      <c r="AD5" s="1993"/>
      <c r="AE5" s="1191"/>
      <c r="AF5" s="1191"/>
      <c r="AG5" s="1191"/>
      <c r="AH5" s="1191"/>
      <c r="AI5" s="1191"/>
      <c r="AJ5" s="1956"/>
    </row>
    <row r="6" spans="1:36" ht="21" customHeight="1">
      <c r="A6" s="1992" t="s">
        <v>102</v>
      </c>
      <c r="B6" s="1191"/>
      <c r="C6" s="1191"/>
      <c r="D6" s="1191"/>
      <c r="E6" s="1191"/>
      <c r="F6" s="1191"/>
      <c r="G6" s="1191"/>
      <c r="H6" s="1191"/>
      <c r="I6" s="1191"/>
      <c r="J6" s="1191"/>
      <c r="K6" s="1191"/>
      <c r="L6" s="1191"/>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956"/>
    </row>
    <row r="7" spans="1:36" ht="15.75">
      <c r="A7" s="1347"/>
      <c r="B7" s="1347"/>
      <c r="C7" s="1347"/>
      <c r="D7" s="1347"/>
      <c r="E7" s="1347"/>
      <c r="F7" s="1347"/>
      <c r="G7" s="1347"/>
      <c r="H7" s="1348"/>
      <c r="I7" s="1348"/>
      <c r="J7" s="1348"/>
      <c r="K7" s="1348"/>
      <c r="L7" s="1348"/>
      <c r="M7" s="1347"/>
      <c r="N7" s="1348"/>
      <c r="O7" s="1348"/>
      <c r="P7" s="1348"/>
      <c r="Q7" s="1348"/>
      <c r="R7" s="1348"/>
      <c r="S7" s="1347"/>
      <c r="T7" s="1347"/>
      <c r="U7" s="1347"/>
      <c r="V7" s="1347"/>
      <c r="W7" s="1347"/>
      <c r="X7" s="1347"/>
      <c r="Y7" s="1347"/>
      <c r="Z7" s="1347"/>
      <c r="AA7" s="1347"/>
      <c r="AB7" s="1347"/>
      <c r="AC7" s="1347"/>
      <c r="AD7" s="1349"/>
      <c r="AE7" s="1349"/>
      <c r="AF7" s="1349"/>
      <c r="AG7" s="1349"/>
      <c r="AJ7" s="1956"/>
    </row>
    <row r="8" spans="1:36" ht="16.350000000000001" customHeight="1">
      <c r="A8" s="1348"/>
      <c r="B8" s="1347"/>
      <c r="C8" s="1347"/>
      <c r="D8" s="1348"/>
      <c r="E8" s="1347"/>
      <c r="F8" s="1347"/>
      <c r="G8" s="1347"/>
      <c r="H8" s="1348"/>
      <c r="I8" s="1348"/>
      <c r="J8" s="1348"/>
      <c r="K8" s="1348"/>
      <c r="L8" s="1348"/>
      <c r="M8" s="1347"/>
      <c r="N8" s="1348"/>
      <c r="O8" s="1348"/>
      <c r="P8" s="1348"/>
      <c r="Q8" s="1348"/>
      <c r="R8" s="1348"/>
      <c r="S8" s="1347"/>
      <c r="T8" s="1347"/>
      <c r="U8" s="1347"/>
      <c r="V8" s="1347"/>
      <c r="W8" s="1347"/>
      <c r="X8" s="1347" t="s">
        <v>103</v>
      </c>
      <c r="Y8" s="1347"/>
      <c r="Z8" s="1347"/>
      <c r="AA8" s="1347"/>
      <c r="AB8" s="1347"/>
      <c r="AC8" s="1347"/>
      <c r="AD8" s="1350"/>
      <c r="AE8" s="1350"/>
      <c r="AF8" s="1351"/>
      <c r="AG8" s="1351"/>
      <c r="AI8" s="1340"/>
      <c r="AJ8" s="1956"/>
    </row>
    <row r="9" spans="1:36" ht="16.350000000000001" customHeight="1">
      <c r="A9" s="1347"/>
      <c r="B9" s="1347"/>
      <c r="C9" s="1347"/>
      <c r="D9" s="1347"/>
      <c r="E9" s="1347"/>
      <c r="F9" s="1347"/>
      <c r="G9" s="1347"/>
      <c r="H9" s="1348"/>
      <c r="I9" s="1348"/>
      <c r="J9" s="1348"/>
      <c r="K9" s="1348"/>
      <c r="L9" s="1348"/>
      <c r="M9" s="1347"/>
      <c r="N9" s="1348"/>
      <c r="O9" s="1348"/>
      <c r="P9" s="1348"/>
      <c r="Q9" s="1348"/>
      <c r="R9" s="1348"/>
      <c r="S9" s="1347"/>
      <c r="T9" s="1347"/>
      <c r="U9" s="1347"/>
      <c r="V9" s="1347"/>
      <c r="W9" s="1347"/>
      <c r="X9" s="1347"/>
      <c r="Y9" s="1347"/>
      <c r="Z9" s="1347"/>
      <c r="AA9" s="1347"/>
      <c r="AB9" s="1347"/>
      <c r="AC9" s="1347"/>
      <c r="AD9" s="1352"/>
      <c r="AE9" s="1352"/>
      <c r="AF9" s="1352"/>
      <c r="AG9" s="1352"/>
      <c r="AI9" s="1340"/>
      <c r="AJ9" s="1956"/>
    </row>
    <row r="10" spans="1:36" ht="16.350000000000001" customHeight="1">
      <c r="A10" s="1353"/>
      <c r="B10" s="1353"/>
      <c r="C10" s="1353"/>
      <c r="D10" s="1354" t="s">
        <v>104</v>
      </c>
      <c r="E10" s="1354"/>
      <c r="F10" s="1354"/>
      <c r="G10" s="1352"/>
      <c r="H10" s="1354" t="s">
        <v>105</v>
      </c>
      <c r="I10" s="1354"/>
      <c r="J10" s="1354"/>
      <c r="K10" s="1352"/>
      <c r="L10" s="1354" t="s">
        <v>106</v>
      </c>
      <c r="M10" s="1354"/>
      <c r="N10" s="1354"/>
      <c r="O10" s="1352"/>
      <c r="P10" s="1354" t="s">
        <v>107</v>
      </c>
      <c r="Q10" s="1354"/>
      <c r="R10" s="1354"/>
      <c r="S10" s="1352"/>
      <c r="T10" s="1352"/>
      <c r="U10" s="1352"/>
      <c r="V10" s="2051" t="s">
        <v>108</v>
      </c>
      <c r="W10" s="2052"/>
      <c r="X10" s="2052"/>
      <c r="Y10" s="2052"/>
      <c r="Z10" s="2052"/>
      <c r="AA10" s="2052"/>
      <c r="AB10" s="2052"/>
      <c r="AC10" s="2052"/>
      <c r="AD10" s="2052"/>
      <c r="AE10" s="2052"/>
      <c r="AF10" s="2052"/>
      <c r="AG10" s="2052"/>
      <c r="AH10" s="2052"/>
      <c r="AI10" s="2052"/>
      <c r="AJ10" s="1956"/>
    </row>
    <row r="11" spans="1:36" ht="16.350000000000001" customHeight="1">
      <c r="A11" s="1353"/>
      <c r="B11" s="1353"/>
      <c r="C11" s="1353"/>
      <c r="D11" s="1351" t="s">
        <v>109</v>
      </c>
      <c r="E11" s="1351"/>
      <c r="F11" s="1355" t="s">
        <v>1528</v>
      </c>
      <c r="G11" s="1351"/>
      <c r="H11" s="1351" t="s">
        <v>109</v>
      </c>
      <c r="I11" s="1351"/>
      <c r="J11" s="1351" t="str">
        <f>F11</f>
        <v>3 MOS. ENDED</v>
      </c>
      <c r="K11" s="1351"/>
      <c r="L11" s="1351" t="s">
        <v>109</v>
      </c>
      <c r="M11" s="1351"/>
      <c r="N11" s="1351" t="str">
        <f>F11</f>
        <v>3 MOS. ENDED</v>
      </c>
      <c r="O11" s="1351"/>
      <c r="P11" s="1351" t="s">
        <v>109</v>
      </c>
      <c r="Q11" s="1351"/>
      <c r="R11" s="1351" t="str">
        <f>J11</f>
        <v>3 MOS. ENDED</v>
      </c>
      <c r="S11" s="1351"/>
      <c r="T11" s="1351"/>
      <c r="U11" s="1356"/>
      <c r="V11" s="1351" t="s">
        <v>109</v>
      </c>
      <c r="W11" s="1351"/>
      <c r="X11" s="1351" t="str">
        <f>F11</f>
        <v>3 MOS. ENDED</v>
      </c>
      <c r="Y11" s="1351"/>
      <c r="Z11" s="1351"/>
      <c r="AA11" s="1351"/>
      <c r="AB11" s="1351" t="s">
        <v>109</v>
      </c>
      <c r="AC11" s="1351"/>
      <c r="AD11" s="1351" t="str">
        <f>F11</f>
        <v>3 MOS. ENDED</v>
      </c>
      <c r="AE11" s="1351"/>
      <c r="AF11" s="1351"/>
      <c r="AG11" s="1351" t="s">
        <v>110</v>
      </c>
      <c r="AH11" s="1340"/>
      <c r="AI11" s="1351" t="s">
        <v>111</v>
      </c>
      <c r="AJ11" s="1956"/>
    </row>
    <row r="12" spans="1:36" ht="16.350000000000001" customHeight="1">
      <c r="A12" s="1353"/>
      <c r="B12" s="1353"/>
      <c r="C12" s="1353"/>
      <c r="D12" s="1809" t="s">
        <v>1525</v>
      </c>
      <c r="E12" s="1351"/>
      <c r="F12" s="1812" t="s">
        <v>1526</v>
      </c>
      <c r="G12" s="1351"/>
      <c r="H12" s="1358" t="str">
        <f>D12</f>
        <v>JUNE 2026</v>
      </c>
      <c r="I12" s="1351"/>
      <c r="J12" s="1358" t="str">
        <f>F12</f>
        <v>JUNE 30, 2026</v>
      </c>
      <c r="K12" s="1351"/>
      <c r="L12" s="1358" t="str">
        <f>D12</f>
        <v>JUNE 2026</v>
      </c>
      <c r="M12" s="1351"/>
      <c r="N12" s="1358" t="str">
        <f>F12</f>
        <v>JUNE 30, 2026</v>
      </c>
      <c r="O12" s="1351"/>
      <c r="P12" s="1358" t="str">
        <f>D12</f>
        <v>JUNE 2026</v>
      </c>
      <c r="Q12" s="1351"/>
      <c r="R12" s="1358" t="str">
        <f>J12</f>
        <v>JUNE 30, 2026</v>
      </c>
      <c r="S12" s="1351"/>
      <c r="T12" s="1351"/>
      <c r="U12" s="1356"/>
      <c r="V12" s="1358" t="str">
        <f>D12</f>
        <v>JUNE 2026</v>
      </c>
      <c r="W12" s="1351"/>
      <c r="X12" s="1358" t="str">
        <f>F12</f>
        <v>JUNE 30, 2026</v>
      </c>
      <c r="Y12" s="1351"/>
      <c r="Z12" s="1351"/>
      <c r="AA12" s="1351"/>
      <c r="AB12" s="1357" t="str">
        <f>_xlfn.CONCAT(_xlfn.TEXTBEFORE(D12," ")," ",RIGHT(D12,4)-1)</f>
        <v>JUNE 2025</v>
      </c>
      <c r="AC12" s="1351"/>
      <c r="AD12" s="2031" t="str">
        <f>UPPER(TEXT(DATE(YEAR(_xlfn.TEXTAFTER('Exh D Governmental  '!A6," ",4))-1,MONTH(_xlfn.TEXTAFTER('Exh D Governmental  '!A6," ",4)),DAY(_xlfn.TEXTAFTER('Exh D Governmental  '!A6," ",4))),"MMMM dd, yyyy"))</f>
        <v>JUNE 30, 2025</v>
      </c>
      <c r="AE12" s="1355"/>
      <c r="AF12" s="1355"/>
      <c r="AG12" s="1358" t="s">
        <v>112</v>
      </c>
      <c r="AH12" s="1340"/>
      <c r="AI12" s="1357" t="s">
        <v>113</v>
      </c>
      <c r="AJ12" s="1956"/>
    </row>
    <row r="13" spans="1:36" ht="16.350000000000001" customHeight="1">
      <c r="A13" s="1352" t="s">
        <v>114</v>
      </c>
      <c r="B13" s="1353"/>
      <c r="C13" s="1353"/>
      <c r="D13" s="1353" t="s">
        <v>103</v>
      </c>
      <c r="E13" s="1353"/>
      <c r="F13" s="1353"/>
      <c r="G13" s="1353"/>
      <c r="H13" s="1353" t="s">
        <v>103</v>
      </c>
      <c r="I13" s="1353"/>
      <c r="J13" s="1353"/>
      <c r="K13" s="1353"/>
      <c r="L13" s="1353" t="s">
        <v>103</v>
      </c>
      <c r="M13" s="1353"/>
      <c r="N13" s="1353"/>
      <c r="O13" s="1353"/>
      <c r="P13" s="1353" t="s">
        <v>103</v>
      </c>
      <c r="Q13" s="1353"/>
      <c r="R13" s="1353"/>
      <c r="S13" s="1359"/>
      <c r="T13" s="1359"/>
      <c r="U13" s="1353"/>
      <c r="V13" s="1353"/>
      <c r="W13" s="1353"/>
      <c r="X13" s="1353"/>
      <c r="Y13" s="1359"/>
      <c r="Z13" s="1360"/>
      <c r="AA13" s="1353"/>
      <c r="AB13" s="1353"/>
      <c r="AC13" s="1353"/>
      <c r="AD13" s="1353"/>
      <c r="AE13" s="1353"/>
      <c r="AF13" s="1361"/>
      <c r="AG13" s="1353"/>
      <c r="AI13" s="1340"/>
      <c r="AJ13" s="1956"/>
    </row>
    <row r="14" spans="1:36" ht="18" customHeight="1">
      <c r="A14" s="1353" t="s">
        <v>115</v>
      </c>
      <c r="B14" s="1362"/>
      <c r="C14" s="1353"/>
      <c r="D14" s="2006">
        <f>'Exhibit F'!H27</f>
        <v>3191.4</v>
      </c>
      <c r="E14" s="1363" t="s">
        <v>103</v>
      </c>
      <c r="F14" s="2006">
        <f>'Exhibit F'!AC27</f>
        <v>10443.1</v>
      </c>
      <c r="G14" s="1363"/>
      <c r="H14" s="2006">
        <f>'Exhibit G'!H17</f>
        <v>0</v>
      </c>
      <c r="I14" s="2044"/>
      <c r="J14" s="2006">
        <f>'Exhibit G'!AE17</f>
        <v>0</v>
      </c>
      <c r="K14" s="1363"/>
      <c r="L14" s="2045">
        <f>'Exhibit H'!F17</f>
        <v>3191.4000000000005</v>
      </c>
      <c r="M14" s="2006"/>
      <c r="N14" s="2006">
        <f>'Exhibit H'!AA17</f>
        <v>10443.1</v>
      </c>
      <c r="O14" s="2006"/>
      <c r="P14" s="2046">
        <v>0</v>
      </c>
      <c r="Q14" s="2006"/>
      <c r="R14" s="2046">
        <v>0</v>
      </c>
      <c r="S14" s="2047"/>
      <c r="T14" s="2047"/>
      <c r="U14" s="2006"/>
      <c r="V14" s="2006">
        <f>ROUND(SUM(D14)+SUM(H14)+SUM(L14)+SUM(P14),1)</f>
        <v>6382.8</v>
      </c>
      <c r="W14" s="2006" t="s">
        <v>103</v>
      </c>
      <c r="X14" s="2006">
        <f>ROUND(SUM(F14)+SUM(J14)+SUM(N14)+SUM(R14),1)</f>
        <v>20886.2</v>
      </c>
      <c r="Y14" s="1364"/>
      <c r="Z14" s="1365"/>
      <c r="AA14" s="1363"/>
      <c r="AB14" s="2000">
        <v>5691.3</v>
      </c>
      <c r="AC14" s="1363"/>
      <c r="AD14" s="1363">
        <f>'Exhibit F'!AF27+'Exhibit G'!AH17+'Exhibit H'!AD17</f>
        <v>19209.300000000003</v>
      </c>
      <c r="AE14" s="1363"/>
      <c r="AF14" s="1366"/>
      <c r="AG14" s="1363">
        <f t="shared" ref="AG14:AG19" si="0">ROUND(SUM(X14-AD14),1)</f>
        <v>1676.9</v>
      </c>
      <c r="AH14" s="1367"/>
      <c r="AI14" s="1191">
        <f t="shared" ref="AI14:AI19" si="1">ROUND(SUM((+X14-AD14)/ABS(AD14)),3)</f>
        <v>8.6999999999999994E-2</v>
      </c>
      <c r="AJ14" s="1957"/>
    </row>
    <row r="15" spans="1:36" ht="18" customHeight="1">
      <c r="A15" s="1353" t="s">
        <v>116</v>
      </c>
      <c r="B15" s="1368" t="s">
        <v>103</v>
      </c>
      <c r="C15" s="1353"/>
      <c r="D15" s="2008">
        <f>'Exhibit F'!H38</f>
        <v>1063.7</v>
      </c>
      <c r="E15" s="1335"/>
      <c r="F15" s="1335">
        <f>'Exhibit F'!AC38</f>
        <v>2767.1</v>
      </c>
      <c r="G15" s="1335"/>
      <c r="H15" s="1335">
        <f>'Exhibit G'!H29</f>
        <v>267.3</v>
      </c>
      <c r="I15" s="1335"/>
      <c r="J15" s="1335">
        <f>'Exhibit G'!AE29</f>
        <v>650.4</v>
      </c>
      <c r="K15" s="1335"/>
      <c r="L15" s="1192">
        <f>'Exhibit H'!F21</f>
        <v>1017.5</v>
      </c>
      <c r="M15" s="1335"/>
      <c r="N15" s="1335">
        <f>'Exhibit H'!AA21</f>
        <v>2632.1</v>
      </c>
      <c r="O15" s="1335"/>
      <c r="P15" s="1192">
        <f>'Exhibit I'!I21</f>
        <v>67.2</v>
      </c>
      <c r="Q15" s="1335"/>
      <c r="R15" s="1192">
        <f>'Exhibit I'!AF21</f>
        <v>150.30000000000001</v>
      </c>
      <c r="S15" s="1369"/>
      <c r="T15" s="1369"/>
      <c r="U15" s="1335"/>
      <c r="V15" s="1335">
        <f>ROUND(SUM(D15)+SUM(H15)+SUM(L15)+SUM(P15),1)</f>
        <v>2415.6999999999998</v>
      </c>
      <c r="W15" s="1335" t="s">
        <v>103</v>
      </c>
      <c r="X15" s="1335">
        <f t="shared" ref="X15:X19" si="2">ROUND(SUM(F15)+SUM(J15)+SUM(N15)+SUM(R15),1)</f>
        <v>6199.9</v>
      </c>
      <c r="Y15" s="1369"/>
      <c r="Z15" s="1370"/>
      <c r="AA15" s="1335"/>
      <c r="AB15" s="1193">
        <v>2219.6</v>
      </c>
      <c r="AC15" s="1335"/>
      <c r="AD15" s="1305">
        <f>'Exhibit F'!AF38+'Exhibit G'!AH29+'Exhibit H'!AD21+'Exhibit I'!AI21</f>
        <v>5767.5</v>
      </c>
      <c r="AE15" s="1335"/>
      <c r="AF15" s="1371"/>
      <c r="AG15" s="1335">
        <f t="shared" si="0"/>
        <v>432.4</v>
      </c>
      <c r="AI15" s="1191">
        <f t="shared" si="1"/>
        <v>7.4999999999999997E-2</v>
      </c>
      <c r="AJ15" s="1957"/>
    </row>
    <row r="16" spans="1:36" ht="18" customHeight="1">
      <c r="A16" s="1353" t="s">
        <v>117</v>
      </c>
      <c r="B16" s="1372"/>
      <c r="C16" s="1353"/>
      <c r="D16" s="2008">
        <f>'Exhibit F'!H46</f>
        <v>4650.8</v>
      </c>
      <c r="E16" s="1335"/>
      <c r="F16" s="1335">
        <f>'Exhibit F'!AC46</f>
        <v>5791.3</v>
      </c>
      <c r="G16" s="1335"/>
      <c r="H16" s="1335">
        <f>'Exhibit G'!H36</f>
        <v>570</v>
      </c>
      <c r="I16" s="1335"/>
      <c r="J16" s="1335">
        <f>'Exhibit G'!AE36</f>
        <v>1053.2</v>
      </c>
      <c r="K16" s="1335"/>
      <c r="L16" s="1192">
        <f>'Exhibit H'!F24</f>
        <v>2292.9</v>
      </c>
      <c r="M16" s="1335"/>
      <c r="N16" s="1192">
        <f>'Exhibit H'!AA24</f>
        <v>2435.4</v>
      </c>
      <c r="O16" s="1335"/>
      <c r="P16" s="1192">
        <f>'Exhibit I'!I26</f>
        <v>51.1</v>
      </c>
      <c r="Q16" s="1335"/>
      <c r="R16" s="1192">
        <f>'Exhibit I'!AF26</f>
        <v>138.9</v>
      </c>
      <c r="S16" s="1369"/>
      <c r="T16" s="1369"/>
      <c r="U16" s="1335"/>
      <c r="V16" s="1335">
        <f t="shared" ref="V16:V17" si="3">ROUND(SUM(D16)+SUM(H16)+SUM(L16)+SUM(P16),1)</f>
        <v>7564.8</v>
      </c>
      <c r="W16" s="1335" t="s">
        <v>103</v>
      </c>
      <c r="X16" s="1335">
        <f t="shared" si="2"/>
        <v>9418.7999999999993</v>
      </c>
      <c r="Y16" s="1369"/>
      <c r="Z16" s="1370"/>
      <c r="AA16" s="1335"/>
      <c r="AB16" s="1193">
        <v>5812.7999999999993</v>
      </c>
      <c r="AC16" s="1335"/>
      <c r="AD16" s="1353">
        <f>'Exhibit F'!AF46+'Exhibit G'!AH36+'Exhibit I'!AI26+'Exhibit H'!AD23</f>
        <v>7515.2000000000007</v>
      </c>
      <c r="AE16" s="1335"/>
      <c r="AF16" s="1371"/>
      <c r="AG16" s="1335">
        <f t="shared" si="0"/>
        <v>1903.6</v>
      </c>
      <c r="AI16" s="1191">
        <f t="shared" si="1"/>
        <v>0.253</v>
      </c>
      <c r="AJ16" s="1957"/>
    </row>
    <row r="17" spans="1:36" ht="18" customHeight="1">
      <c r="A17" s="1353" t="s">
        <v>118</v>
      </c>
      <c r="B17" s="1368" t="s">
        <v>103</v>
      </c>
      <c r="C17" s="1353"/>
      <c r="D17" s="2008">
        <f>'Exhibit F'!H54</f>
        <v>95.9</v>
      </c>
      <c r="E17" s="1335"/>
      <c r="F17" s="1335">
        <f>'Exhibit F'!AC54</f>
        <v>376.9</v>
      </c>
      <c r="G17" s="1335"/>
      <c r="H17" s="1335">
        <v>0</v>
      </c>
      <c r="I17" s="1335"/>
      <c r="J17" s="1335">
        <v>0</v>
      </c>
      <c r="K17" s="1335"/>
      <c r="L17" s="1192">
        <f>'Exhibit H'!F28</f>
        <v>98.3</v>
      </c>
      <c r="M17" s="1335"/>
      <c r="N17" s="1335">
        <f>'Exhibit H'!AA28</f>
        <v>321.8</v>
      </c>
      <c r="O17" s="1335"/>
      <c r="P17" s="1192">
        <f>'Exhibit I'!I29</f>
        <v>25.7</v>
      </c>
      <c r="Q17" s="1335"/>
      <c r="R17" s="1192">
        <f>'Exhibit I'!AF29</f>
        <v>25.7</v>
      </c>
      <c r="S17" s="1369"/>
      <c r="T17" s="1369"/>
      <c r="U17" s="1335"/>
      <c r="V17" s="1335">
        <f t="shared" si="3"/>
        <v>219.9</v>
      </c>
      <c r="W17" s="1335" t="s">
        <v>103</v>
      </c>
      <c r="X17" s="1335">
        <f t="shared" si="2"/>
        <v>724.4</v>
      </c>
      <c r="Y17" s="1369"/>
      <c r="Z17" s="1370"/>
      <c r="AA17" s="1335"/>
      <c r="AB17" s="1193">
        <v>184.4</v>
      </c>
      <c r="AC17" s="1335"/>
      <c r="AD17" s="1335">
        <f>'Exhibit F'!AF54+'Exhibit H'!AD28+'Exhibit I'!AI29</f>
        <v>716.5</v>
      </c>
      <c r="AE17" s="1335"/>
      <c r="AF17" s="1371"/>
      <c r="AG17" s="1335">
        <f t="shared" si="0"/>
        <v>7.9</v>
      </c>
      <c r="AI17" s="1191">
        <f t="shared" si="1"/>
        <v>1.0999999999999999E-2</v>
      </c>
      <c r="AJ17" s="1957"/>
    </row>
    <row r="18" spans="1:36" ht="18" customHeight="1">
      <c r="A18" s="1353" t="s">
        <v>119</v>
      </c>
      <c r="B18" s="1368" t="s">
        <v>103</v>
      </c>
      <c r="C18" s="1353"/>
      <c r="D18" s="2008">
        <f>'Exhibit F'!H97</f>
        <v>414</v>
      </c>
      <c r="E18" s="1335"/>
      <c r="F18" s="1335">
        <f>'Exhibit F'!AC97</f>
        <v>1137.5999999999999</v>
      </c>
      <c r="G18" s="1335"/>
      <c r="H18" s="1335">
        <f>'Exhibit G'!H81</f>
        <v>2008.5</v>
      </c>
      <c r="I18" s="1335"/>
      <c r="J18" s="1335">
        <f>'Exhibit G'!AE81</f>
        <v>7129.4</v>
      </c>
      <c r="K18" s="1335"/>
      <c r="L18" s="1192">
        <f>'Exhibit H'!F51</f>
        <v>53</v>
      </c>
      <c r="M18" s="1335"/>
      <c r="N18" s="1192">
        <f>'Exhibit H'!AA51</f>
        <v>188.9</v>
      </c>
      <c r="O18" s="1335"/>
      <c r="P18" s="1192">
        <f>'Exhibit I'!I60</f>
        <v>2403.8000000000002</v>
      </c>
      <c r="Q18" s="1335"/>
      <c r="R18" s="1335">
        <f>'Exhibit I'!AF60</f>
        <v>2537.1</v>
      </c>
      <c r="S18" s="1369"/>
      <c r="T18" s="1369"/>
      <c r="U18" s="1335"/>
      <c r="V18" s="1335">
        <f>ROUND(SUM(D18)+SUM(H18)+SUM(L18)+SUM(P18),1)</f>
        <v>4879.3</v>
      </c>
      <c r="W18" s="1335" t="s">
        <v>103</v>
      </c>
      <c r="X18" s="1335">
        <f>ROUND(SUM(F18)+SUM(J18)+SUM(N18)+SUM(R18),1)</f>
        <v>10993</v>
      </c>
      <c r="Y18" s="1369"/>
      <c r="Z18" s="1370"/>
      <c r="AA18" s="1335"/>
      <c r="AB18" s="1193">
        <v>2428</v>
      </c>
      <c r="AC18" s="1335"/>
      <c r="AD18" s="1335">
        <f>'Exhibit F'!AF97+'Exhibit G'!AH81+'Exhibit H'!AD51+'Exhibit I'!AI60</f>
        <v>7475.4000000000005</v>
      </c>
      <c r="AE18" s="1335"/>
      <c r="AF18" s="1371"/>
      <c r="AG18" s="1335">
        <f t="shared" si="0"/>
        <v>3517.6</v>
      </c>
      <c r="AI18" s="1191">
        <f t="shared" si="1"/>
        <v>0.47099999999999997</v>
      </c>
      <c r="AJ18" s="1957"/>
    </row>
    <row r="19" spans="1:36" ht="18" customHeight="1">
      <c r="A19" s="1353" t="s">
        <v>120</v>
      </c>
      <c r="B19" s="1362" t="s">
        <v>103</v>
      </c>
      <c r="C19" s="1353"/>
      <c r="D19" s="2008">
        <f>'Exhibit F'!H99</f>
        <v>1.1000000000000001</v>
      </c>
      <c r="E19" s="1335"/>
      <c r="F19" s="1335">
        <f>'Exhibit F'!AC99</f>
        <v>1.1000000000000001</v>
      </c>
      <c r="G19" s="1335"/>
      <c r="H19" s="1335">
        <f>'Exhibit G'!H83</f>
        <v>13528.3</v>
      </c>
      <c r="I19" s="1335"/>
      <c r="J19" s="1335">
        <f>'Exhibit G'!AE83</f>
        <v>29525.8</v>
      </c>
      <c r="K19" s="1335"/>
      <c r="L19" s="1192">
        <f>'Exhibit H'!F53</f>
        <v>0</v>
      </c>
      <c r="M19" s="1335"/>
      <c r="N19" s="1335">
        <f>'Exhibit H'!AA53</f>
        <v>27.1</v>
      </c>
      <c r="O19" s="1335"/>
      <c r="P19" s="1192">
        <f>'Exhibit I'!I62</f>
        <v>155.5</v>
      </c>
      <c r="Q19" s="1335"/>
      <c r="R19" s="1335">
        <f>'Exhibit I'!AF62</f>
        <v>378.7</v>
      </c>
      <c r="S19" s="1369"/>
      <c r="T19" s="1369"/>
      <c r="U19" s="1335"/>
      <c r="V19" s="1335">
        <f>ROUND(SUM(D19)+SUM(H19)+SUM(L19)+SUM(P19),1)</f>
        <v>13684.9</v>
      </c>
      <c r="W19" s="1335" t="s">
        <v>103</v>
      </c>
      <c r="X19" s="1335">
        <f t="shared" si="2"/>
        <v>29932.7</v>
      </c>
      <c r="Y19" s="1369"/>
      <c r="Z19" s="1370"/>
      <c r="AA19" s="1335"/>
      <c r="AB19" s="1193">
        <v>7841.7000000000007</v>
      </c>
      <c r="AC19" s="1335"/>
      <c r="AD19" s="1335">
        <f>'Exhibit F'!AF99+'Exhibit G'!AH83+'Exhibit H'!AD53+'Exhibit I'!AI62</f>
        <v>25171.5</v>
      </c>
      <c r="AE19" s="1335"/>
      <c r="AF19" s="1371"/>
      <c r="AG19" s="1335">
        <f t="shared" si="0"/>
        <v>4761.2</v>
      </c>
      <c r="AI19" s="1191">
        <f t="shared" si="1"/>
        <v>0.189</v>
      </c>
      <c r="AJ19" s="1957"/>
    </row>
    <row r="20" spans="1:36" ht="18" customHeight="1">
      <c r="A20" s="1352" t="s">
        <v>121</v>
      </c>
      <c r="B20" s="1353"/>
      <c r="C20" s="1353"/>
      <c r="D20" s="1373">
        <f>ROUND(SUM(D14:D19),1)</f>
        <v>9416.9</v>
      </c>
      <c r="E20" s="2007"/>
      <c r="F20" s="1373">
        <f>ROUND(SUM(F14:F19),1)</f>
        <v>20517.099999999999</v>
      </c>
      <c r="G20" s="1374"/>
      <c r="H20" s="1375">
        <f>ROUND(SUM(H14:H19),1)</f>
        <v>16374.1</v>
      </c>
      <c r="I20" s="1374"/>
      <c r="J20" s="1375">
        <f>ROUND(SUM(J14:J19),1)</f>
        <v>38358.800000000003</v>
      </c>
      <c r="K20" s="1374"/>
      <c r="L20" s="1373">
        <f>ROUND(SUM(L14:L19),1)</f>
        <v>6653.1</v>
      </c>
      <c r="M20" s="1374"/>
      <c r="N20" s="1375">
        <f>ROUND(SUM(N14:N19),1)</f>
        <v>16048.4</v>
      </c>
      <c r="O20" s="1374"/>
      <c r="P20" s="1375">
        <f>ROUND(SUM(P14:P19),1)</f>
        <v>2703.3</v>
      </c>
      <c r="Q20" s="1374"/>
      <c r="R20" s="1375">
        <f>ROUND(SUM(R14:R19),1)</f>
        <v>3230.7</v>
      </c>
      <c r="S20" s="1376"/>
      <c r="T20" s="1376"/>
      <c r="U20" s="1374"/>
      <c r="V20" s="1375">
        <f>ROUND(SUM(V14:V19),1)</f>
        <v>35147.4</v>
      </c>
      <c r="W20" s="1374"/>
      <c r="X20" s="1375">
        <f>ROUND(SUM(X14:X19),1)</f>
        <v>78155</v>
      </c>
      <c r="Y20" s="1376"/>
      <c r="Z20" s="1377"/>
      <c r="AA20" s="1374"/>
      <c r="AB20" s="1375">
        <f>ROUND(SUM(AB14:AB19),1)</f>
        <v>24177.8</v>
      </c>
      <c r="AC20" s="1374"/>
      <c r="AD20" s="1375">
        <f>ROUND(SUM(AD14:AD19),1)</f>
        <v>65855.399999999994</v>
      </c>
      <c r="AE20" s="1374"/>
      <c r="AF20" s="1378"/>
      <c r="AG20" s="1375">
        <f>ROUND(SUM(AG14:AG19),1)</f>
        <v>12299.6</v>
      </c>
      <c r="AH20" s="1379"/>
      <c r="AI20" s="1380">
        <f>(+X20-AD20)/ABS(AD20)</f>
        <v>0.18676676476036905</v>
      </c>
      <c r="AJ20" s="1958"/>
    </row>
    <row r="21" spans="1:36" ht="16.350000000000001" customHeight="1">
      <c r="A21" s="1352"/>
      <c r="B21" s="1353"/>
      <c r="C21" s="1353"/>
      <c r="D21" s="1335"/>
      <c r="E21" s="1335"/>
      <c r="F21" s="1335"/>
      <c r="G21" s="1335"/>
      <c r="H21" s="1335"/>
      <c r="I21" s="1335"/>
      <c r="J21" s="1335"/>
      <c r="K21" s="1335"/>
      <c r="L21" s="1335"/>
      <c r="M21" s="1335"/>
      <c r="N21" s="1335"/>
      <c r="O21" s="1335"/>
      <c r="P21" s="1335"/>
      <c r="Q21" s="1335"/>
      <c r="R21" s="1335" t="s">
        <v>103</v>
      </c>
      <c r="S21" s="1369"/>
      <c r="T21" s="1369"/>
      <c r="U21" s="1335"/>
      <c r="V21" s="1335"/>
      <c r="W21" s="1335"/>
      <c r="X21" s="1335" t="s">
        <v>103</v>
      </c>
      <c r="Y21" s="1369"/>
      <c r="Z21" s="1370"/>
      <c r="AA21" s="1335"/>
      <c r="AB21" s="1335"/>
      <c r="AC21" s="1335"/>
      <c r="AD21" s="1335"/>
      <c r="AE21" s="1335"/>
      <c r="AF21" s="1371"/>
      <c r="AG21" s="1335"/>
      <c r="AI21" s="1340"/>
      <c r="AJ21" s="1957"/>
    </row>
    <row r="22" spans="1:36" ht="16.350000000000001" customHeight="1">
      <c r="A22" s="1352" t="s">
        <v>122</v>
      </c>
      <c r="B22" s="1353"/>
      <c r="C22" s="1353"/>
      <c r="D22" s="1335"/>
      <c r="E22" s="1335"/>
      <c r="F22" s="1335"/>
      <c r="G22" s="1335"/>
      <c r="H22" s="1335"/>
      <c r="I22" s="1335"/>
      <c r="J22" s="1335"/>
      <c r="K22" s="1335"/>
      <c r="L22" s="1335"/>
      <c r="M22" s="1335"/>
      <c r="N22" s="1335"/>
      <c r="O22" s="1335"/>
      <c r="P22" s="1335"/>
      <c r="Q22" s="1335"/>
      <c r="R22" s="1335" t="s">
        <v>103</v>
      </c>
      <c r="S22" s="1369"/>
      <c r="T22" s="1369"/>
      <c r="U22" s="1335"/>
      <c r="V22" s="1335"/>
      <c r="W22" s="1335"/>
      <c r="X22" s="1335" t="s">
        <v>103</v>
      </c>
      <c r="Y22" s="1369"/>
      <c r="Z22" s="1370"/>
      <c r="AA22" s="1335"/>
      <c r="AB22" s="1335"/>
      <c r="AC22" s="1335"/>
      <c r="AD22" s="1335"/>
      <c r="AE22" s="1335"/>
      <c r="AF22" s="1371"/>
      <c r="AG22" s="1335"/>
      <c r="AI22" s="1340"/>
      <c r="AJ22" s="1957"/>
    </row>
    <row r="23" spans="1:36" ht="16.350000000000001" customHeight="1">
      <c r="A23" s="1353" t="s">
        <v>123</v>
      </c>
      <c r="B23" s="1362" t="s">
        <v>103</v>
      </c>
      <c r="C23" s="1353"/>
      <c r="D23" s="1381" t="s">
        <v>103</v>
      </c>
      <c r="E23" s="1335"/>
      <c r="F23" s="1381" t="s">
        <v>103</v>
      </c>
      <c r="G23" s="1335"/>
      <c r="H23" s="1382"/>
      <c r="I23" s="1335"/>
      <c r="J23" s="1382"/>
      <c r="K23" s="1335"/>
      <c r="L23" s="1382"/>
      <c r="M23" s="1335"/>
      <c r="N23" s="1382"/>
      <c r="O23" s="1335"/>
      <c r="P23" s="1382"/>
      <c r="Q23" s="1335"/>
      <c r="R23" s="1382"/>
      <c r="S23" s="1369"/>
      <c r="T23" s="1369"/>
      <c r="U23" s="1335"/>
      <c r="V23" s="1382"/>
      <c r="W23" s="1335"/>
      <c r="X23" s="1382"/>
      <c r="Y23" s="1369"/>
      <c r="Z23" s="1370"/>
      <c r="AA23" s="1335"/>
      <c r="AB23" s="1382"/>
      <c r="AC23" s="1335"/>
      <c r="AD23" s="1382"/>
      <c r="AE23" s="1335"/>
      <c r="AF23" s="1371"/>
      <c r="AG23" s="1382"/>
      <c r="AI23" s="1383"/>
      <c r="AJ23" s="1957"/>
    </row>
    <row r="24" spans="1:36" ht="18" customHeight="1">
      <c r="A24" s="1384" t="s">
        <v>124</v>
      </c>
      <c r="B24" s="1353"/>
      <c r="C24" s="1353"/>
      <c r="D24" s="2008">
        <f>'Exhibit F'!H105</f>
        <v>2744.5</v>
      </c>
      <c r="E24" s="1335"/>
      <c r="F24" s="1335">
        <f>'Exhibit F'!AC105</f>
        <v>11144.8</v>
      </c>
      <c r="G24" s="1335"/>
      <c r="H24" s="1192">
        <f>'Exhibit G'!H89</f>
        <v>1050.7</v>
      </c>
      <c r="I24" s="1335"/>
      <c r="J24" s="1335">
        <f>'Exhibit G'!AE89</f>
        <v>1901.2</v>
      </c>
      <c r="K24" s="1335"/>
      <c r="L24" s="1382">
        <v>0</v>
      </c>
      <c r="M24" s="1335"/>
      <c r="N24" s="1382">
        <v>0</v>
      </c>
      <c r="O24" s="1335"/>
      <c r="P24" s="1192">
        <f>'Exhibit I'!I68</f>
        <v>14.300000000000004</v>
      </c>
      <c r="Q24" s="1192"/>
      <c r="R24" s="1335">
        <f>'Exhibit I'!AF68</f>
        <v>55.1</v>
      </c>
      <c r="S24" s="1369"/>
      <c r="T24" s="1369"/>
      <c r="U24" s="1335"/>
      <c r="V24" s="1335">
        <f>ROUND(SUM(D24)+SUM(H24)+SUM(L24)+SUM(P24),1)</f>
        <v>3809.5</v>
      </c>
      <c r="W24" s="1335" t="s">
        <v>103</v>
      </c>
      <c r="X24" s="1335">
        <f>ROUND(SUM(F24)+SUM(J24)+SUM(N24)+SUM(R24),1)</f>
        <v>13101.1</v>
      </c>
      <c r="Y24" s="1369"/>
      <c r="Z24" s="1370"/>
      <c r="AA24" s="1335"/>
      <c r="AB24" s="1193">
        <v>3208.7000000000003</v>
      </c>
      <c r="AC24" s="1335"/>
      <c r="AD24" s="1335">
        <f>'Exhibit F'!AF105+'Exhibit G'!AH89+'Exhibit I'!AI68</f>
        <v>12174.5</v>
      </c>
      <c r="AE24" s="1192"/>
      <c r="AF24" s="1385"/>
      <c r="AG24" s="1335">
        <f>ROUND(SUM(X24-AD24),1)</f>
        <v>926.6</v>
      </c>
      <c r="AI24" s="1191">
        <f>ROUND(SUM((+X24-AD24)/ABS(AD24)),3)</f>
        <v>7.5999999999999998E-2</v>
      </c>
      <c r="AJ24" s="1957"/>
    </row>
    <row r="25" spans="1:36" ht="18" customHeight="1">
      <c r="A25" s="1384" t="s">
        <v>125</v>
      </c>
      <c r="B25" s="1386"/>
      <c r="C25" s="1353"/>
      <c r="D25" s="2008">
        <f>'Exhibit F'!H106</f>
        <v>2.4000000000000004</v>
      </c>
      <c r="E25" s="1335"/>
      <c r="F25" s="1335">
        <f>'Exhibit F'!AC106</f>
        <v>3</v>
      </c>
      <c r="G25" s="1335"/>
      <c r="H25" s="1192">
        <f>'Exhibit G'!H90</f>
        <v>0.19999999999999998</v>
      </c>
      <c r="I25" s="1335"/>
      <c r="J25" s="1335">
        <f>'Exhibit G'!AE90</f>
        <v>0.5</v>
      </c>
      <c r="K25" s="1335"/>
      <c r="L25" s="1382">
        <v>0</v>
      </c>
      <c r="M25" s="1335"/>
      <c r="N25" s="1382">
        <v>0</v>
      </c>
      <c r="O25" s="1335"/>
      <c r="P25" s="1192">
        <f>'Exhibit I'!I69</f>
        <v>35.799999999999997</v>
      </c>
      <c r="Q25" s="1192"/>
      <c r="R25" s="1335">
        <f>'Exhibit I'!AF69</f>
        <v>72.7</v>
      </c>
      <c r="S25" s="1369"/>
      <c r="T25" s="1369"/>
      <c r="U25" s="1335"/>
      <c r="V25" s="1335">
        <f t="shared" ref="V25:V32" si="4">ROUND(SUM(D25)+SUM(H25)+SUM(L25)+SUM(P25),1)</f>
        <v>38.4</v>
      </c>
      <c r="W25" s="1335" t="s">
        <v>103</v>
      </c>
      <c r="X25" s="1335">
        <f t="shared" ref="X25:X32" si="5">ROUND(SUM(F25)+SUM(J25)+SUM(N25)+SUM(R25),1)</f>
        <v>76.2</v>
      </c>
      <c r="Y25" s="1369"/>
      <c r="Z25" s="1370"/>
      <c r="AA25" s="1335"/>
      <c r="AB25" s="1193">
        <v>15.5</v>
      </c>
      <c r="AC25" s="1192"/>
      <c r="AD25" s="1335">
        <f>'Exhibit F'!AF106+'Exhibit G'!AH90+'Exhibit I'!AI69</f>
        <v>36.900000000000006</v>
      </c>
      <c r="AE25" s="1335"/>
      <c r="AF25" s="1371"/>
      <c r="AG25" s="1335">
        <f t="shared" ref="AG25:AG33" si="6">ROUND(SUM(X25-AD25),1)</f>
        <v>39.299999999999997</v>
      </c>
      <c r="AI25" s="1387">
        <f t="shared" ref="AI25:AI32" si="7">ROUND(SUM((+X25-AD25)/ABS(AD25)),3)</f>
        <v>1.0649999999999999</v>
      </c>
      <c r="AJ25" s="1957"/>
    </row>
    <row r="26" spans="1:36" ht="18" customHeight="1">
      <c r="A26" s="1384" t="s">
        <v>126</v>
      </c>
      <c r="B26" s="1388"/>
      <c r="C26" s="1353"/>
      <c r="D26" s="2008">
        <f>'Exhibit F'!H107</f>
        <v>750.9</v>
      </c>
      <c r="E26" s="1335"/>
      <c r="F26" s="1335">
        <f>'Exhibit F'!AC107</f>
        <v>836.1</v>
      </c>
      <c r="G26" s="1335"/>
      <c r="H26" s="1192">
        <f>'Exhibit G'!H91</f>
        <v>45.5</v>
      </c>
      <c r="I26" s="1335"/>
      <c r="J26" s="1335">
        <f>'Exhibit G'!AE91</f>
        <v>107.4</v>
      </c>
      <c r="K26" s="1335"/>
      <c r="L26" s="1382">
        <v>0</v>
      </c>
      <c r="M26" s="1335"/>
      <c r="N26" s="1382">
        <v>0</v>
      </c>
      <c r="O26" s="1335"/>
      <c r="P26" s="1192">
        <f>'Exhibit I'!I70</f>
        <v>53.9</v>
      </c>
      <c r="Q26" s="1192"/>
      <c r="R26" s="1335">
        <f>'Exhibit I'!AF70</f>
        <v>112</v>
      </c>
      <c r="S26" s="1369"/>
      <c r="T26" s="1369"/>
      <c r="U26" s="1335"/>
      <c r="V26" s="1335">
        <f t="shared" si="4"/>
        <v>850.3</v>
      </c>
      <c r="W26" s="1335" t="s">
        <v>103</v>
      </c>
      <c r="X26" s="1335">
        <f t="shared" si="5"/>
        <v>1055.5</v>
      </c>
      <c r="Y26" s="1369"/>
      <c r="Z26" s="1370"/>
      <c r="AA26" s="1335"/>
      <c r="AB26" s="1193">
        <v>467.59999999999997</v>
      </c>
      <c r="AC26" s="1335"/>
      <c r="AD26" s="1335">
        <f>'Exhibit F'!AF107+'Exhibit G'!AH91+'Exhibit I'!AI70</f>
        <v>703.80000000000007</v>
      </c>
      <c r="AE26" s="1335"/>
      <c r="AF26" s="1371"/>
      <c r="AG26" s="1335">
        <f t="shared" si="6"/>
        <v>351.7</v>
      </c>
      <c r="AI26" s="1191">
        <f t="shared" si="7"/>
        <v>0.5</v>
      </c>
      <c r="AJ26" s="1957"/>
    </row>
    <row r="27" spans="1:36" ht="18" customHeight="1">
      <c r="A27" s="1384" t="s">
        <v>127</v>
      </c>
      <c r="B27" s="1362"/>
      <c r="C27" s="1353"/>
      <c r="D27" s="2008"/>
      <c r="E27" s="1335"/>
      <c r="F27" s="1335"/>
      <c r="G27" s="1335"/>
      <c r="H27" s="1192"/>
      <c r="I27" s="1335"/>
      <c r="J27" s="1335" t="s">
        <v>103</v>
      </c>
      <c r="K27" s="1335"/>
      <c r="L27" s="1381" t="s">
        <v>103</v>
      </c>
      <c r="M27" s="1335"/>
      <c r="N27" s="1381" t="s">
        <v>103</v>
      </c>
      <c r="O27" s="1335"/>
      <c r="P27" s="1192"/>
      <c r="Q27" s="1192"/>
      <c r="R27" s="1335"/>
      <c r="S27" s="1369"/>
      <c r="T27" s="1369"/>
      <c r="U27" s="1335"/>
      <c r="V27" s="1335" t="s">
        <v>103</v>
      </c>
      <c r="W27" s="1335"/>
      <c r="X27" s="1335" t="s">
        <v>103</v>
      </c>
      <c r="Y27" s="1369"/>
      <c r="Z27" s="1370"/>
      <c r="AA27" s="1335"/>
      <c r="AB27" s="1335"/>
      <c r="AC27" s="1335"/>
      <c r="AD27" s="1335"/>
      <c r="AE27" s="1335"/>
      <c r="AF27" s="1371"/>
      <c r="AG27" s="1335"/>
      <c r="AI27" s="1191" t="s">
        <v>103</v>
      </c>
      <c r="AJ27" s="1957"/>
    </row>
    <row r="28" spans="1:36" ht="18" customHeight="1">
      <c r="A28" s="1389" t="s">
        <v>128</v>
      </c>
      <c r="B28" s="1368"/>
      <c r="C28" s="1353"/>
      <c r="D28" s="2008">
        <f>'Exhibit F'!H109</f>
        <v>1572.4000000000015</v>
      </c>
      <c r="E28" s="1335"/>
      <c r="F28" s="1335">
        <f>'Exhibit F'!AC109</f>
        <v>9816.2000000000007</v>
      </c>
      <c r="G28" s="1335"/>
      <c r="H28" s="1192">
        <f>'Exhibit G'!H93</f>
        <v>5277.7000000000016</v>
      </c>
      <c r="I28" s="1335"/>
      <c r="J28" s="1335">
        <f>'Exhibit G'!AE93</f>
        <v>15728.8</v>
      </c>
      <c r="K28" s="1335"/>
      <c r="L28" s="1382">
        <v>0</v>
      </c>
      <c r="M28" s="1335"/>
      <c r="N28" s="1382">
        <v>0</v>
      </c>
      <c r="O28" s="1335"/>
      <c r="P28" s="1192">
        <v>0</v>
      </c>
      <c r="Q28" s="1192"/>
      <c r="R28" s="1382">
        <v>0</v>
      </c>
      <c r="S28" s="1369"/>
      <c r="T28" s="1369"/>
      <c r="U28" s="1335"/>
      <c r="V28" s="1335">
        <f t="shared" si="4"/>
        <v>6850.1</v>
      </c>
      <c r="W28" s="1335" t="s">
        <v>103</v>
      </c>
      <c r="X28" s="1335">
        <f t="shared" si="5"/>
        <v>25545</v>
      </c>
      <c r="Y28" s="1369"/>
      <c r="Z28" s="1370"/>
      <c r="AA28" s="1335"/>
      <c r="AB28" s="1193">
        <v>7658.1</v>
      </c>
      <c r="AC28" s="1335"/>
      <c r="AD28" s="1335">
        <f>'Exhibit F'!AF109+'Exhibit G'!AH93</f>
        <v>24545.599999999999</v>
      </c>
      <c r="AE28" s="1335"/>
      <c r="AF28" s="1371"/>
      <c r="AG28" s="1335">
        <f t="shared" si="6"/>
        <v>999.4</v>
      </c>
      <c r="AI28" s="1191">
        <f t="shared" si="7"/>
        <v>4.1000000000000002E-2</v>
      </c>
      <c r="AJ28" s="1957"/>
    </row>
    <row r="29" spans="1:36" ht="18" customHeight="1">
      <c r="A29" s="1384" t="s">
        <v>129</v>
      </c>
      <c r="B29" s="1368"/>
      <c r="C29" s="1353"/>
      <c r="D29" s="2008">
        <f>'Exhibit F'!H110</f>
        <v>472.7</v>
      </c>
      <c r="E29" s="1335"/>
      <c r="F29" s="1335">
        <f>'Exhibit F'!AC110</f>
        <v>756</v>
      </c>
      <c r="G29" s="1335"/>
      <c r="H29" s="1192">
        <f>'Exhibit G'!H94</f>
        <v>1932.2000000000003</v>
      </c>
      <c r="I29" s="1335"/>
      <c r="J29" s="1335">
        <f>'Exhibit G'!AE94</f>
        <v>4714.6000000000004</v>
      </c>
      <c r="K29" s="1335"/>
      <c r="L29" s="1382">
        <v>0</v>
      </c>
      <c r="M29" s="1335"/>
      <c r="N29" s="1382">
        <v>0</v>
      </c>
      <c r="O29" s="1335"/>
      <c r="P29" s="1192">
        <f>'Exhibit I'!I72</f>
        <v>107.40000000000002</v>
      </c>
      <c r="Q29" s="1192"/>
      <c r="R29" s="1335">
        <f>'Exhibit I'!AF72</f>
        <v>152.19999999999999</v>
      </c>
      <c r="S29" s="1369"/>
      <c r="T29" s="1369"/>
      <c r="U29" s="1335"/>
      <c r="V29" s="1335">
        <f t="shared" si="4"/>
        <v>2512.3000000000002</v>
      </c>
      <c r="W29" s="1335" t="s">
        <v>103</v>
      </c>
      <c r="X29" s="1335">
        <f t="shared" si="5"/>
        <v>5622.8</v>
      </c>
      <c r="Y29" s="1369"/>
      <c r="Z29" s="1370"/>
      <c r="AA29" s="1335"/>
      <c r="AB29" s="1193">
        <v>2498.1</v>
      </c>
      <c r="AC29" s="1335"/>
      <c r="AD29" s="1335">
        <f>'Exhibit F'!AF110+'Exhibit G'!AH94+'Exhibit I'!AI72</f>
        <v>5861.4000000000005</v>
      </c>
      <c r="AE29" s="1335"/>
      <c r="AF29" s="1371"/>
      <c r="AG29" s="1335">
        <f t="shared" si="6"/>
        <v>-238.6</v>
      </c>
      <c r="AI29" s="1191">
        <f t="shared" si="7"/>
        <v>-4.1000000000000002E-2</v>
      </c>
      <c r="AJ29" s="1957"/>
    </row>
    <row r="30" spans="1:36" ht="18" customHeight="1">
      <c r="A30" s="1384" t="s">
        <v>130</v>
      </c>
      <c r="B30" s="1362"/>
      <c r="C30" s="1353"/>
      <c r="D30" s="2008">
        <f>'Exhibit F'!H111</f>
        <v>50.400000000000006</v>
      </c>
      <c r="E30" s="1335"/>
      <c r="F30" s="1335">
        <f>'Exhibit F'!AC111</f>
        <v>150.80000000000001</v>
      </c>
      <c r="G30" s="1335"/>
      <c r="H30" s="1192">
        <f>'Exhibit G'!H95</f>
        <v>504.79999999999995</v>
      </c>
      <c r="I30" s="1335"/>
      <c r="J30" s="1335">
        <f>'Exhibit G'!AE95</f>
        <v>1876.1</v>
      </c>
      <c r="K30" s="1335"/>
      <c r="L30" s="1382">
        <v>0</v>
      </c>
      <c r="M30" s="1335"/>
      <c r="N30" s="1382">
        <v>0</v>
      </c>
      <c r="O30" s="1335"/>
      <c r="P30" s="1192">
        <f>'Exhibit I'!I73</f>
        <v>7.9999999999999991</v>
      </c>
      <c r="Q30" s="1192"/>
      <c r="R30" s="1382">
        <f>'Exhibit I'!AF73</f>
        <v>18.7</v>
      </c>
      <c r="S30" s="1369"/>
      <c r="T30" s="1369"/>
      <c r="U30" s="1335"/>
      <c r="V30" s="1335">
        <f t="shared" si="4"/>
        <v>563.20000000000005</v>
      </c>
      <c r="W30" s="1335" t="s">
        <v>103</v>
      </c>
      <c r="X30" s="1335">
        <f t="shared" si="5"/>
        <v>2045.6</v>
      </c>
      <c r="Y30" s="1369"/>
      <c r="Z30" s="1370"/>
      <c r="AA30" s="1335"/>
      <c r="AB30" s="1193">
        <v>524.6</v>
      </c>
      <c r="AC30" s="1335"/>
      <c r="AD30" s="1335">
        <f>'Exhibit F'!AF111+'Exhibit G'!AH95+'Exhibit I'!AI73</f>
        <v>1309.8</v>
      </c>
      <c r="AE30" s="1335"/>
      <c r="AF30" s="1371"/>
      <c r="AG30" s="1335">
        <f t="shared" si="6"/>
        <v>735.8</v>
      </c>
      <c r="AI30" s="1387">
        <f t="shared" si="7"/>
        <v>0.56200000000000006</v>
      </c>
      <c r="AJ30" s="1957"/>
    </row>
    <row r="31" spans="1:36" ht="18" customHeight="1">
      <c r="A31" s="1384" t="s">
        <v>131</v>
      </c>
      <c r="B31" s="1353"/>
      <c r="C31" s="1353"/>
      <c r="D31" s="2008">
        <f>'Exhibit F'!H112</f>
        <v>534.4</v>
      </c>
      <c r="E31" s="1335"/>
      <c r="F31" s="1335">
        <f>'Exhibit F'!AC112</f>
        <v>926.8</v>
      </c>
      <c r="G31" s="1335"/>
      <c r="H31" s="1192">
        <f>'Exhibit G'!H96</f>
        <v>896.59999999999991</v>
      </c>
      <c r="I31" s="1335"/>
      <c r="J31" s="1335">
        <f>'Exhibit G'!AE96</f>
        <v>1727.4</v>
      </c>
      <c r="K31" s="1335"/>
      <c r="L31" s="1382">
        <v>0</v>
      </c>
      <c r="M31" s="1335"/>
      <c r="N31" s="1382">
        <v>0</v>
      </c>
      <c r="O31" s="1335"/>
      <c r="P31" s="1192">
        <f>'Exhibit I'!I74</f>
        <v>124.20000000000002</v>
      </c>
      <c r="Q31" s="1192"/>
      <c r="R31" s="1335">
        <f>'Exhibit I'!AF74</f>
        <v>355.3</v>
      </c>
      <c r="S31" s="1369"/>
      <c r="T31" s="1369"/>
      <c r="U31" s="1335"/>
      <c r="V31" s="1335">
        <f t="shared" si="4"/>
        <v>1555.2</v>
      </c>
      <c r="W31" s="1335" t="s">
        <v>103</v>
      </c>
      <c r="X31" s="1335">
        <f t="shared" si="5"/>
        <v>3009.5</v>
      </c>
      <c r="Y31" s="1369"/>
      <c r="Z31" s="1370"/>
      <c r="AA31" s="1335"/>
      <c r="AB31" s="1193">
        <v>1671.9</v>
      </c>
      <c r="AC31" s="1335"/>
      <c r="AD31" s="1335">
        <f>'Exhibit F'!AF112+'Exhibit G'!AH96+'Exhibit I'!AI74</f>
        <v>3074.8</v>
      </c>
      <c r="AE31" s="1335"/>
      <c r="AF31" s="1371"/>
      <c r="AG31" s="1335">
        <f t="shared" si="6"/>
        <v>-65.3</v>
      </c>
      <c r="AI31" s="1191">
        <f t="shared" si="7"/>
        <v>-2.1000000000000001E-2</v>
      </c>
      <c r="AJ31" s="1957"/>
    </row>
    <row r="32" spans="1:36" ht="18" customHeight="1">
      <c r="A32" s="1384" t="s">
        <v>132</v>
      </c>
      <c r="B32" s="1362"/>
      <c r="C32" s="1353"/>
      <c r="D32" s="2008">
        <f>'Exhibit F'!H113</f>
        <v>26.800000000000004</v>
      </c>
      <c r="E32" s="1335"/>
      <c r="F32" s="1335">
        <f>'Exhibit F'!AC113</f>
        <v>70.2</v>
      </c>
      <c r="G32" s="1335"/>
      <c r="H32" s="1192">
        <f>'Exhibit G'!H97</f>
        <v>1.9000000000000001</v>
      </c>
      <c r="I32" s="1335"/>
      <c r="J32" s="1335">
        <f>'Exhibit G'!AE97</f>
        <v>3.6</v>
      </c>
      <c r="K32" s="1335"/>
      <c r="L32" s="1382">
        <v>0</v>
      </c>
      <c r="M32" s="1335" t="s">
        <v>103</v>
      </c>
      <c r="N32" s="1382">
        <v>0</v>
      </c>
      <c r="O32" s="1335"/>
      <c r="P32" s="1192">
        <f>'Exhibit I'!I75</f>
        <v>175.7</v>
      </c>
      <c r="Q32" s="1192"/>
      <c r="R32" s="1335">
        <f>'Exhibit I'!AF75</f>
        <v>289.8</v>
      </c>
      <c r="S32" s="1369"/>
      <c r="T32" s="1369"/>
      <c r="U32" s="1335"/>
      <c r="V32" s="1335">
        <f t="shared" si="4"/>
        <v>204.4</v>
      </c>
      <c r="W32" s="1335" t="s">
        <v>103</v>
      </c>
      <c r="X32" s="1335">
        <f t="shared" si="5"/>
        <v>363.6</v>
      </c>
      <c r="Y32" s="1369"/>
      <c r="Z32" s="1370"/>
      <c r="AA32" s="1335"/>
      <c r="AB32" s="1193">
        <v>111.8</v>
      </c>
      <c r="AC32" s="1335"/>
      <c r="AD32" s="1335">
        <f>'Exhibit F'!AF113+'Exhibit G'!AH97+'Exhibit I'!AI75</f>
        <v>274.10000000000002</v>
      </c>
      <c r="AE32" s="1335"/>
      <c r="AF32" s="1371"/>
      <c r="AG32" s="1335">
        <f t="shared" si="6"/>
        <v>89.5</v>
      </c>
      <c r="AI32" s="1191">
        <f t="shared" si="7"/>
        <v>0.32700000000000001</v>
      </c>
      <c r="AJ32" s="1957"/>
    </row>
    <row r="33" spans="1:36" ht="18" customHeight="1">
      <c r="A33" s="1384" t="s">
        <v>133</v>
      </c>
      <c r="B33" s="1353"/>
      <c r="C33" s="1353"/>
      <c r="D33" s="2008">
        <f>'Exhibit F'!H114</f>
        <v>19.099999999999998</v>
      </c>
      <c r="E33" s="1335"/>
      <c r="F33" s="1335">
        <f>'Exhibit F'!AC114</f>
        <v>72.8</v>
      </c>
      <c r="G33" s="1335"/>
      <c r="H33" s="1192">
        <f>'Exhibit G'!H98</f>
        <v>433.8</v>
      </c>
      <c r="I33" s="1335"/>
      <c r="J33" s="1335">
        <f>'Exhibit G'!AE98</f>
        <v>1163.5</v>
      </c>
      <c r="K33" s="1335"/>
      <c r="L33" s="1382">
        <v>0</v>
      </c>
      <c r="M33" s="1335"/>
      <c r="N33" s="1382">
        <v>0</v>
      </c>
      <c r="O33" s="1335"/>
      <c r="P33" s="1192">
        <f>'Exhibit I'!I76</f>
        <v>178.69999999999996</v>
      </c>
      <c r="Q33" s="1192"/>
      <c r="R33" s="1335">
        <f>'Exhibit I'!AF76</f>
        <v>292.89999999999998</v>
      </c>
      <c r="S33" s="1369"/>
      <c r="T33" s="1369"/>
      <c r="U33" s="1335"/>
      <c r="V33" s="1335">
        <f>ROUND(SUM(D33)+SUM(H33)+SUM(L33)+SUM(P33),1)</f>
        <v>631.6</v>
      </c>
      <c r="W33" s="1335" t="s">
        <v>103</v>
      </c>
      <c r="X33" s="1335">
        <f>ROUND(SUM(F33)+SUM(J33)+SUM(N33)+SUM(R33),1)</f>
        <v>1529.2</v>
      </c>
      <c r="Y33" s="1369"/>
      <c r="Z33" s="1370"/>
      <c r="AA33" s="1335"/>
      <c r="AB33" s="1193">
        <v>555.5</v>
      </c>
      <c r="AC33" s="1335"/>
      <c r="AD33" s="1335">
        <f>'Exhibit F'!AF114+'Exhibit G'!AH98+'Exhibit I'!AI76</f>
        <v>1416.5</v>
      </c>
      <c r="AE33" s="1335"/>
      <c r="AF33" s="1371"/>
      <c r="AG33" s="1335">
        <f t="shared" si="6"/>
        <v>112.7</v>
      </c>
      <c r="AI33" s="1191">
        <f>ROUND(SUM((+X33-AD33)/ABS(AD33)),3)</f>
        <v>0.08</v>
      </c>
      <c r="AJ33" s="1957"/>
    </row>
    <row r="34" spans="1:36" ht="18" customHeight="1">
      <c r="A34" s="1352" t="s">
        <v>134</v>
      </c>
      <c r="B34" s="1353"/>
      <c r="C34" s="1353"/>
      <c r="D34" s="1375">
        <f>ROUND(SUM(D24:D33),1)</f>
        <v>6173.6</v>
      </c>
      <c r="E34" s="1374"/>
      <c r="F34" s="1375">
        <f>ROUND(SUM(F24:F33),1)</f>
        <v>23776.7</v>
      </c>
      <c r="G34" s="1374"/>
      <c r="H34" s="1375">
        <f>ROUND(SUM(H24:H33),1)</f>
        <v>10143.4</v>
      </c>
      <c r="I34" s="1374"/>
      <c r="J34" s="1375">
        <f>ROUND(SUM(J24:J33),1)</f>
        <v>27223.1</v>
      </c>
      <c r="K34" s="1374"/>
      <c r="L34" s="1375">
        <f>ROUND(SUM(L24:L33),1)</f>
        <v>0</v>
      </c>
      <c r="M34" s="1374"/>
      <c r="N34" s="2048">
        <f>ROUND(SUM(N24:N33),1)</f>
        <v>0</v>
      </c>
      <c r="O34" s="1374"/>
      <c r="P34" s="1373">
        <f>ROUND(SUM(P24:P33),1)</f>
        <v>698</v>
      </c>
      <c r="Q34" s="1374"/>
      <c r="R34" s="1373">
        <f>ROUND(SUM(R24:R33),1)</f>
        <v>1348.7</v>
      </c>
      <c r="S34" s="1376"/>
      <c r="T34" s="1376"/>
      <c r="U34" s="1374"/>
      <c r="V34" s="1375">
        <f>ROUND(SUM(V24:V33),1)</f>
        <v>17015</v>
      </c>
      <c r="W34" s="1374"/>
      <c r="X34" s="1375">
        <f>ROUND(SUM(X24:X33),1)</f>
        <v>52348.5</v>
      </c>
      <c r="Y34" s="1376"/>
      <c r="Z34" s="1377"/>
      <c r="AA34" s="1374"/>
      <c r="AB34" s="1375">
        <f>ROUND(SUM(AB23:AB33),1)</f>
        <v>16711.8</v>
      </c>
      <c r="AC34" s="1374"/>
      <c r="AD34" s="1375">
        <f>ROUND(SUM(AD23:AD33),1)</f>
        <v>49397.4</v>
      </c>
      <c r="AE34" s="1374"/>
      <c r="AF34" s="1378"/>
      <c r="AG34" s="1375">
        <f>ROUND(SUM(AG24:AG33),1)</f>
        <v>2951.1</v>
      </c>
      <c r="AH34" s="1379"/>
      <c r="AI34" s="1380">
        <f>ROUND(SUM((+X34-AD34)/ABS(AD34)),3)</f>
        <v>0.06</v>
      </c>
      <c r="AJ34" s="1959"/>
    </row>
    <row r="35" spans="1:36" ht="18" customHeight="1">
      <c r="A35" s="1353" t="s">
        <v>135</v>
      </c>
      <c r="B35" s="1388"/>
      <c r="C35" s="1353"/>
      <c r="D35" s="1335"/>
      <c r="E35" s="1335"/>
      <c r="F35" s="1335"/>
      <c r="G35" s="1335"/>
      <c r="H35" s="1335"/>
      <c r="I35" s="1335"/>
      <c r="J35" s="1335"/>
      <c r="K35" s="1335"/>
      <c r="L35" s="1335"/>
      <c r="M35" s="1335"/>
      <c r="N35" s="1335"/>
      <c r="O35" s="1335"/>
      <c r="P35" s="1335"/>
      <c r="Q35" s="1335"/>
      <c r="R35" s="1335"/>
      <c r="S35" s="1369"/>
      <c r="T35" s="1369"/>
      <c r="U35" s="1335"/>
      <c r="V35" s="1335"/>
      <c r="W35" s="1335"/>
      <c r="X35" s="1335" t="s">
        <v>103</v>
      </c>
      <c r="Y35" s="1369"/>
      <c r="Z35" s="1370"/>
      <c r="AA35" s="1335"/>
      <c r="AB35" s="1335"/>
      <c r="AC35" s="1335"/>
      <c r="AD35" s="1335"/>
      <c r="AE35" s="1335"/>
      <c r="AF35" s="1371"/>
      <c r="AG35" s="1335"/>
      <c r="AI35" s="1340"/>
      <c r="AJ35" s="1957"/>
    </row>
    <row r="36" spans="1:36" ht="18" customHeight="1">
      <c r="A36" s="1353" t="s">
        <v>136</v>
      </c>
      <c r="B36" s="1386"/>
      <c r="C36" s="1353"/>
      <c r="D36" s="1335">
        <f>'Exhibit F'!H117</f>
        <v>914.00000000000023</v>
      </c>
      <c r="E36" s="1335"/>
      <c r="F36" s="1335">
        <f>'Exhibit F'!AC117</f>
        <v>3036.8</v>
      </c>
      <c r="G36" s="1335"/>
      <c r="H36" s="1192">
        <f>'Exhibit G'!H101</f>
        <v>535.29999999999995</v>
      </c>
      <c r="I36" s="1335"/>
      <c r="J36" s="1335">
        <f>'Exhibit G'!AE101</f>
        <v>1733.4</v>
      </c>
      <c r="K36" s="1335"/>
      <c r="L36" s="1381">
        <v>0</v>
      </c>
      <c r="M36" s="1335"/>
      <c r="N36" s="1381">
        <v>0</v>
      </c>
      <c r="O36" s="1335"/>
      <c r="P36" s="1381">
        <f>'Exhibit I'!I79</f>
        <v>0</v>
      </c>
      <c r="Q36" s="1335"/>
      <c r="R36" s="1381">
        <f>'Exhibit I'!AF79</f>
        <v>0</v>
      </c>
      <c r="S36" s="1369"/>
      <c r="T36" s="1369"/>
      <c r="U36" s="1335"/>
      <c r="V36" s="1335">
        <f>ROUND(SUM(D36)+SUM(H36)+SUM(L36)+SUM(P36),1)</f>
        <v>1449.3</v>
      </c>
      <c r="W36" s="1335" t="s">
        <v>103</v>
      </c>
      <c r="X36" s="1335">
        <f>ROUND(SUM(F36)+SUM(J36)+SUM(N36)+SUM(R36),1)</f>
        <v>4770.2</v>
      </c>
      <c r="Y36" s="1369"/>
      <c r="Z36" s="1370"/>
      <c r="AA36" s="1335"/>
      <c r="AB36" s="1193">
        <v>1387.1</v>
      </c>
      <c r="AC36" s="1335"/>
      <c r="AD36" s="1335">
        <f>'Exhibit F'!AF117+'Exhibit G'!AH101+'Exhibit I'!AI79</f>
        <v>4687.0999999999995</v>
      </c>
      <c r="AE36" s="1335"/>
      <c r="AF36" s="1371"/>
      <c r="AG36" s="1335">
        <f>ROUND(SUM(X36-AD36),1)</f>
        <v>83.1</v>
      </c>
      <c r="AI36" s="1191">
        <f>ROUND(SUM((+X36-AD36)/ABS(AD36)),3)</f>
        <v>1.7999999999999999E-2</v>
      </c>
      <c r="AJ36" s="1957"/>
    </row>
    <row r="37" spans="1:36" ht="18" customHeight="1">
      <c r="A37" s="1353" t="s">
        <v>137</v>
      </c>
      <c r="B37" s="1388"/>
      <c r="C37" s="1353"/>
      <c r="D37" s="1335">
        <f>'Exhibit F'!H118</f>
        <v>347.1</v>
      </c>
      <c r="E37" s="1335"/>
      <c r="F37" s="1335">
        <f>'Exhibit F'!AC118</f>
        <v>745.5</v>
      </c>
      <c r="G37" s="1335"/>
      <c r="H37" s="1192">
        <f>'Exhibit G'!H102</f>
        <v>630.9</v>
      </c>
      <c r="I37" s="1335"/>
      <c r="J37" s="1335">
        <f>'Exhibit G'!AE102</f>
        <v>1386.2</v>
      </c>
      <c r="K37" s="1335"/>
      <c r="L37" s="1192">
        <f>'Exhibit H'!F59</f>
        <v>0</v>
      </c>
      <c r="M37" s="1335"/>
      <c r="N37" s="1335">
        <f>'Exhibit H'!AA59</f>
        <v>1.4</v>
      </c>
      <c r="O37" s="1335" t="s">
        <v>103</v>
      </c>
      <c r="P37" s="1381">
        <f>'Exhibit I'!I80</f>
        <v>0</v>
      </c>
      <c r="Q37" s="1335"/>
      <c r="R37" s="1381">
        <f>'Exhibit I'!AF80</f>
        <v>0</v>
      </c>
      <c r="S37" s="1369"/>
      <c r="T37" s="1369"/>
      <c r="U37" s="1335"/>
      <c r="V37" s="1335">
        <f>ROUND(SUM(D37)+SUM(H37)+SUM(L37)+SUM(P37),1)</f>
        <v>978</v>
      </c>
      <c r="W37" s="1335" t="s">
        <v>103</v>
      </c>
      <c r="X37" s="1335">
        <f>ROUND(SUM(F37)+SUM(J37)+SUM(N37)+SUM(R37),1)</f>
        <v>2133.1</v>
      </c>
      <c r="Y37" s="1369"/>
      <c r="Z37" s="1370"/>
      <c r="AA37" s="1335"/>
      <c r="AB37" s="1193">
        <v>710.1</v>
      </c>
      <c r="AC37" s="1335"/>
      <c r="AD37" s="1335">
        <f>'Exhibit F'!AF118+'Exhibit G'!AH102+'Exhibit I'!AI80+'Exhibit H'!AD59</f>
        <v>1948.1999999999998</v>
      </c>
      <c r="AE37" s="1335"/>
      <c r="AF37" s="1371"/>
      <c r="AG37" s="1335">
        <f>ROUND(SUM(X37-AD37),1)</f>
        <v>184.9</v>
      </c>
      <c r="AI37" s="1191">
        <f>ROUND(SUM((+X37-AD37)/ABS(AD37)),3)</f>
        <v>9.5000000000000001E-2</v>
      </c>
      <c r="AJ37" s="1957"/>
    </row>
    <row r="38" spans="1:36" ht="18" customHeight="1">
      <c r="A38" s="1353" t="s">
        <v>138</v>
      </c>
      <c r="B38" s="1362"/>
      <c r="C38" s="1353"/>
      <c r="D38" s="1335">
        <f>'Exhibit F'!H119</f>
        <v>862.2</v>
      </c>
      <c r="E38" s="1335"/>
      <c r="F38" s="1335">
        <f>'Exhibit F'!AC119</f>
        <v>2346.9</v>
      </c>
      <c r="G38" s="2049"/>
      <c r="H38" s="1192">
        <f>'Exhibit G'!H103</f>
        <v>345.7</v>
      </c>
      <c r="I38" s="1335"/>
      <c r="J38" s="1335">
        <f>'Exhibit G'!AE103</f>
        <v>416.3</v>
      </c>
      <c r="K38" s="1335"/>
      <c r="L38" s="1381">
        <v>0</v>
      </c>
      <c r="M38" s="1335"/>
      <c r="N38" s="1381">
        <v>0</v>
      </c>
      <c r="O38" s="1335"/>
      <c r="P38" s="1381">
        <f>'Exhibit I'!I81</f>
        <v>0</v>
      </c>
      <c r="Q38" s="1335"/>
      <c r="R38" s="1381">
        <f>'Exhibit I'!AF81</f>
        <v>0</v>
      </c>
      <c r="S38" s="1369"/>
      <c r="T38" s="1369"/>
      <c r="U38" s="1335"/>
      <c r="V38" s="1335">
        <f>ROUND(SUM(D38)+SUM(H38)+SUM(L38)+SUM(P38),1)</f>
        <v>1207.9000000000001</v>
      </c>
      <c r="W38" s="1335" t="s">
        <v>103</v>
      </c>
      <c r="X38" s="1335">
        <f>ROUND(SUM(F38)+SUM(J38)+SUM(N38)+SUM(R38),1)</f>
        <v>2763.2</v>
      </c>
      <c r="Y38" s="1369"/>
      <c r="Z38" s="1370"/>
      <c r="AA38" s="1335"/>
      <c r="AB38" s="1193">
        <v>687.4</v>
      </c>
      <c r="AC38" s="1335"/>
      <c r="AD38" s="1335">
        <f>'Exhibit F'!AF119+'Exhibit G'!AH103+'Exhibit I'!AI81</f>
        <v>2477.1</v>
      </c>
      <c r="AE38" s="1335"/>
      <c r="AF38" s="1371"/>
      <c r="AG38" s="1335">
        <f>ROUND(SUM(X38-AD38),1)</f>
        <v>286.10000000000002</v>
      </c>
      <c r="AI38" s="1191">
        <f>ROUND(SUM((+X38-AD38)/ABS(AD38)),3)</f>
        <v>0.115</v>
      </c>
      <c r="AJ38" s="1957"/>
    </row>
    <row r="39" spans="1:36" ht="18" customHeight="1">
      <c r="A39" s="1353" t="s">
        <v>139</v>
      </c>
      <c r="B39" s="1353"/>
      <c r="C39" s="1353"/>
      <c r="D39" s="1335"/>
      <c r="E39" s="1335"/>
      <c r="F39" s="1335"/>
      <c r="G39" s="1335"/>
      <c r="H39" s="1335"/>
      <c r="I39" s="1335"/>
      <c r="J39" s="2050"/>
      <c r="K39" s="1335"/>
      <c r="L39" s="1335"/>
      <c r="M39" s="1335"/>
      <c r="N39" s="1335"/>
      <c r="O39" s="1335"/>
      <c r="P39" s="1381"/>
      <c r="Q39" s="1335"/>
      <c r="R39" s="1335"/>
      <c r="S39" s="1369"/>
      <c r="T39" s="1369"/>
      <c r="U39" s="1335"/>
      <c r="V39" s="1335"/>
      <c r="W39" s="1335"/>
      <c r="X39" s="1335"/>
      <c r="Y39" s="1369"/>
      <c r="Z39" s="1370"/>
      <c r="AA39" s="1335"/>
      <c r="AB39" s="1335"/>
      <c r="AC39" s="1335"/>
      <c r="AD39" s="1335"/>
      <c r="AE39" s="1335"/>
      <c r="AF39" s="1371"/>
      <c r="AG39" s="1335"/>
      <c r="AI39" s="1191"/>
      <c r="AJ39" s="1957"/>
    </row>
    <row r="40" spans="1:36" ht="18" customHeight="1">
      <c r="A40" s="1353" t="s">
        <v>1457</v>
      </c>
      <c r="B40" s="1362"/>
      <c r="C40" s="1353"/>
      <c r="D40" s="1335">
        <v>0</v>
      </c>
      <c r="E40" s="1335"/>
      <c r="F40" s="1381">
        <v>0</v>
      </c>
      <c r="G40" s="1335"/>
      <c r="H40" s="1192">
        <f>'Exhibit G'!H105</f>
        <v>0</v>
      </c>
      <c r="I40" s="1335"/>
      <c r="J40" s="1381">
        <f>'Exhibit G'!AE105</f>
        <v>0</v>
      </c>
      <c r="K40" s="1335"/>
      <c r="L40" s="1335">
        <f>'Exhibit H'!F61</f>
        <v>7.5</v>
      </c>
      <c r="M40" s="1335"/>
      <c r="N40" s="1335">
        <f>'Exhibit H'!AA61</f>
        <v>15</v>
      </c>
      <c r="O40" s="1335" t="s">
        <v>103</v>
      </c>
      <c r="P40" s="1381">
        <v>0</v>
      </c>
      <c r="Q40" s="1335"/>
      <c r="R40" s="1381">
        <v>0</v>
      </c>
      <c r="S40" s="1369"/>
      <c r="T40" s="1369"/>
      <c r="U40" s="1335"/>
      <c r="V40" s="1335">
        <f>ROUND(SUM(D40)+SUM(H40)+SUM(L40)+SUM(P40),1)</f>
        <v>7.5</v>
      </c>
      <c r="W40" s="1335" t="s">
        <v>103</v>
      </c>
      <c r="X40" s="1335">
        <f>ROUND(SUM(F40)+SUM(J40)+SUM(N40)+SUM(R40),1)</f>
        <v>15</v>
      </c>
      <c r="Y40" s="1369"/>
      <c r="Z40" s="1370"/>
      <c r="AA40" s="1335"/>
      <c r="AB40" s="1193">
        <v>8.8000000000000007</v>
      </c>
      <c r="AC40" s="1335"/>
      <c r="AD40" s="1335">
        <f>'Exhibit H'!AD61+'Exhibit G Federal'!AF76</f>
        <v>27.7</v>
      </c>
      <c r="AE40" s="1335"/>
      <c r="AF40" s="1371"/>
      <c r="AG40" s="1335">
        <f>ROUND(SUM(X40-AD40),1)</f>
        <v>-12.7</v>
      </c>
      <c r="AI40" s="1191">
        <f>ROUND(SUM((+X40-AD40)/ABS(AD40)),3)</f>
        <v>-0.45800000000000002</v>
      </c>
      <c r="AJ40" s="1960"/>
    </row>
    <row r="41" spans="1:36" ht="18" customHeight="1">
      <c r="A41" s="1353" t="s">
        <v>140</v>
      </c>
      <c r="B41" s="1362" t="s">
        <v>141</v>
      </c>
      <c r="C41" s="1353"/>
      <c r="D41" s="1335">
        <v>0</v>
      </c>
      <c r="E41" s="1335"/>
      <c r="F41" s="1381">
        <v>0</v>
      </c>
      <c r="G41" s="1335"/>
      <c r="H41" s="1192">
        <f>'Exhibit G'!H106</f>
        <v>0</v>
      </c>
      <c r="I41" s="1335"/>
      <c r="J41" s="1335">
        <f>'Exhibit G'!AE106</f>
        <v>0</v>
      </c>
      <c r="K41" s="1335"/>
      <c r="L41" s="1381">
        <v>0</v>
      </c>
      <c r="M41" s="1335"/>
      <c r="N41" s="1381">
        <v>0</v>
      </c>
      <c r="O41" s="1335"/>
      <c r="P41" s="1192">
        <f>'Exhibit I'!I82</f>
        <v>1242.9999999999998</v>
      </c>
      <c r="Q41" s="1335"/>
      <c r="R41" s="1391">
        <f>'Exhibit I'!AF82</f>
        <v>2291.8000000000002</v>
      </c>
      <c r="S41" s="1369"/>
      <c r="T41" s="1369"/>
      <c r="U41" s="1335"/>
      <c r="V41" s="1335">
        <f>ROUND(SUM(D41)+SUM(H41)+SUM(L41)+SUM(P41),1)</f>
        <v>1243</v>
      </c>
      <c r="W41" s="1335" t="s">
        <v>103</v>
      </c>
      <c r="X41" s="1335">
        <f>ROUND(SUM(F41)+SUM(J41)+SUM(N41)+SUM(R41),1)</f>
        <v>2291.8000000000002</v>
      </c>
      <c r="Y41" s="1369"/>
      <c r="Z41" s="1370"/>
      <c r="AA41" s="1335"/>
      <c r="AB41" s="1193">
        <v>931.2</v>
      </c>
      <c r="AC41" s="1335"/>
      <c r="AD41" s="1335">
        <f>'Exhibit G'!AH106+'Exhibit I'!AI82</f>
        <v>2335.6999999999998</v>
      </c>
      <c r="AE41" s="1335"/>
      <c r="AF41" s="1371"/>
      <c r="AG41" s="1335">
        <f>ROUND(SUM(X41-AD41),1)</f>
        <v>-43.9</v>
      </c>
      <c r="AI41" s="1191">
        <f>ROUND(SUM((+X41-AD41)/ABS(AD41)),3)</f>
        <v>-1.9E-2</v>
      </c>
      <c r="AJ41" s="1960"/>
    </row>
    <row r="42" spans="1:36" ht="18" customHeight="1">
      <c r="A42" s="1352" t="s">
        <v>142</v>
      </c>
      <c r="B42" s="1353"/>
      <c r="C42" s="1353"/>
      <c r="D42" s="1375">
        <f>ROUND(SUM(D34:D41),1)</f>
        <v>8296.9</v>
      </c>
      <c r="E42" s="1374"/>
      <c r="F42" s="1375">
        <f>ROUND(SUM(F34:F41),1)</f>
        <v>29905.9</v>
      </c>
      <c r="G42" s="1374"/>
      <c r="H42" s="1375">
        <f>ROUND(SUM(H34:H41),1)</f>
        <v>11655.3</v>
      </c>
      <c r="I42" s="1374"/>
      <c r="J42" s="1375">
        <f>ROUND(SUM(J34:J41),1)</f>
        <v>30759</v>
      </c>
      <c r="K42" s="1374"/>
      <c r="L42" s="1375">
        <f>ROUND(SUM(L34:L41),1)</f>
        <v>7.5</v>
      </c>
      <c r="M42" s="1374"/>
      <c r="N42" s="1375">
        <f>ROUND(SUM(N34:N41),1)</f>
        <v>16.399999999999999</v>
      </c>
      <c r="O42" s="1374"/>
      <c r="P42" s="1375">
        <f>ROUND(SUM(P34:P41),1)</f>
        <v>1941</v>
      </c>
      <c r="Q42" s="1374"/>
      <c r="R42" s="1375">
        <f>ROUND(SUM(R34:R41),1)</f>
        <v>3640.5</v>
      </c>
      <c r="S42" s="1376"/>
      <c r="T42" s="1376"/>
      <c r="U42" s="1374"/>
      <c r="V42" s="1375">
        <f>ROUND(SUM(V34:V41),1)</f>
        <v>21900.7</v>
      </c>
      <c r="W42" s="1374"/>
      <c r="X42" s="1375">
        <f>ROUND(SUM(X34:X41),1)</f>
        <v>64321.8</v>
      </c>
      <c r="Y42" s="1376"/>
      <c r="Z42" s="1377"/>
      <c r="AA42" s="1374"/>
      <c r="AB42" s="1375">
        <f>ROUND(SUM(AB34:AB41),1)</f>
        <v>20436.400000000001</v>
      </c>
      <c r="AC42" s="1374"/>
      <c r="AD42" s="1375">
        <f>ROUND(SUM(AD34:AD41),1)</f>
        <v>60873.2</v>
      </c>
      <c r="AE42" s="1374"/>
      <c r="AF42" s="1378"/>
      <c r="AG42" s="1375">
        <f>ROUND(SUM(AG34:AG41),1)</f>
        <v>3448.6</v>
      </c>
      <c r="AH42" s="1379"/>
      <c r="AI42" s="1380">
        <f>ROUND(SUM((+X42-AD42)/ABS(AD42)),3)</f>
        <v>5.7000000000000002E-2</v>
      </c>
      <c r="AJ42" s="1959"/>
    </row>
    <row r="43" spans="1:36" ht="16.350000000000001" customHeight="1">
      <c r="A43" s="1352"/>
      <c r="B43" s="1353"/>
      <c r="C43" s="1353"/>
      <c r="D43" s="1335"/>
      <c r="E43" s="1335"/>
      <c r="F43" s="1335"/>
      <c r="G43" s="1335"/>
      <c r="H43" s="1335"/>
      <c r="I43" s="1335"/>
      <c r="J43" s="1335" t="s">
        <v>103</v>
      </c>
      <c r="K43" s="1335"/>
      <c r="L43" s="1335"/>
      <c r="M43" s="1335"/>
      <c r="N43" s="1335"/>
      <c r="O43" s="1335"/>
      <c r="P43" s="1192"/>
      <c r="Q43" s="1335"/>
      <c r="R43" s="1335"/>
      <c r="S43" s="1369"/>
      <c r="T43" s="1369"/>
      <c r="U43" s="1335"/>
      <c r="V43" s="1335"/>
      <c r="W43" s="1335"/>
      <c r="X43" s="1335" t="s">
        <v>103</v>
      </c>
      <c r="Y43" s="1369"/>
      <c r="Z43" s="1370"/>
      <c r="AA43" s="1335"/>
      <c r="AB43" s="1335" t="s">
        <v>103</v>
      </c>
      <c r="AC43" s="1335"/>
      <c r="AD43" s="1335"/>
      <c r="AE43" s="1335"/>
      <c r="AF43" s="1371"/>
      <c r="AG43" s="1335"/>
      <c r="AI43" s="1340"/>
      <c r="AJ43" s="1957"/>
    </row>
    <row r="44" spans="1:36" ht="16.350000000000001" customHeight="1">
      <c r="A44" s="1352" t="s">
        <v>143</v>
      </c>
      <c r="B44" s="1352"/>
      <c r="C44" s="1353"/>
      <c r="D44" s="1335"/>
      <c r="E44" s="1335"/>
      <c r="F44" s="1335"/>
      <c r="G44" s="1335"/>
      <c r="H44" s="1335"/>
      <c r="I44" s="1335"/>
      <c r="J44" s="1335"/>
      <c r="K44" s="1335"/>
      <c r="L44" s="1335" t="s">
        <v>103</v>
      </c>
      <c r="M44" s="1335"/>
      <c r="N44" s="1335"/>
      <c r="O44" s="1335"/>
      <c r="P44" s="1192"/>
      <c r="Q44" s="1335"/>
      <c r="R44" s="1335"/>
      <c r="S44" s="1369"/>
      <c r="T44" s="1369"/>
      <c r="U44" s="1335"/>
      <c r="V44" s="1335"/>
      <c r="W44" s="1335"/>
      <c r="X44" s="1335"/>
      <c r="Y44" s="1369"/>
      <c r="Z44" s="1370"/>
      <c r="AA44" s="1335"/>
      <c r="AB44" s="1335"/>
      <c r="AC44" s="1335"/>
      <c r="AD44" s="1335"/>
      <c r="AE44" s="1335"/>
      <c r="AF44" s="1371"/>
      <c r="AG44" s="1335"/>
      <c r="AI44" s="1340"/>
      <c r="AJ44" s="1957"/>
    </row>
    <row r="45" spans="1:36" ht="16.350000000000001" customHeight="1">
      <c r="A45" s="1352" t="s">
        <v>144</v>
      </c>
      <c r="B45" s="1352"/>
      <c r="C45" s="1353"/>
      <c r="D45" s="1392">
        <f>ROUND(SUM(D20-D42),1)</f>
        <v>1120</v>
      </c>
      <c r="E45" s="1374"/>
      <c r="F45" s="1392">
        <f>ROUND(SUM(F20-F42),1)</f>
        <v>-9388.7999999999993</v>
      </c>
      <c r="G45" s="1374"/>
      <c r="H45" s="1392">
        <f>ROUND(SUM(H20-H42),1)</f>
        <v>4718.8</v>
      </c>
      <c r="I45" s="1374"/>
      <c r="J45" s="1392">
        <f>ROUND(SUM(J20-J42),1)</f>
        <v>7599.8</v>
      </c>
      <c r="K45" s="1374"/>
      <c r="L45" s="1392">
        <f>ROUND(SUM(L20-L42),1)</f>
        <v>6645.6</v>
      </c>
      <c r="M45" s="1374" t="s">
        <v>103</v>
      </c>
      <c r="N45" s="1392">
        <f>ROUND(SUM(N20-N42),1)</f>
        <v>16032</v>
      </c>
      <c r="O45" s="1374" t="s">
        <v>103</v>
      </c>
      <c r="P45" s="2032">
        <f>ROUND(SUM(P20-P42),1)</f>
        <v>762.3</v>
      </c>
      <c r="Q45" s="1374" t="s">
        <v>103</v>
      </c>
      <c r="R45" s="2032">
        <f>ROUND(SUM(R20-R42),1)</f>
        <v>-409.8</v>
      </c>
      <c r="S45" s="1376"/>
      <c r="T45" s="1376"/>
      <c r="U45" s="1374"/>
      <c r="V45" s="1392">
        <f>ROUND(SUM(V20-V42),1)</f>
        <v>13246.7</v>
      </c>
      <c r="W45" s="1374" t="s">
        <v>103</v>
      </c>
      <c r="X45" s="1392">
        <f>ROUND(SUM(X20-X42),1)</f>
        <v>13833.2</v>
      </c>
      <c r="Y45" s="1376"/>
      <c r="Z45" s="1377"/>
      <c r="AA45" s="1374"/>
      <c r="AB45" s="1392">
        <f>ROUND(SUM(AB20-AB42),1)</f>
        <v>3741.4</v>
      </c>
      <c r="AC45" s="1374"/>
      <c r="AD45" s="1392">
        <f>ROUND(SUM(AD20-AD42),1)</f>
        <v>4982.2</v>
      </c>
      <c r="AE45" s="1374"/>
      <c r="AF45" s="1378"/>
      <c r="AG45" s="1392">
        <f>ROUND(SUM(X45-AD45),1)</f>
        <v>8851</v>
      </c>
      <c r="AH45" s="1379"/>
      <c r="AI45" s="1393">
        <f>ROUND(SUM((+X45-AD45)/ABS(AD45)),3)</f>
        <v>1.7769999999999999</v>
      </c>
      <c r="AJ45" s="1959"/>
    </row>
    <row r="46" spans="1:36" ht="16.350000000000001" customHeight="1">
      <c r="A46" s="1353"/>
      <c r="B46" s="1353"/>
      <c r="C46" s="1353"/>
      <c r="D46" s="1335"/>
      <c r="E46" s="1335"/>
      <c r="F46" s="1335"/>
      <c r="G46" s="1335"/>
      <c r="H46" s="1335"/>
      <c r="I46" s="1335"/>
      <c r="J46" s="1335" t="s">
        <v>103</v>
      </c>
      <c r="K46" s="1335"/>
      <c r="L46" s="1335"/>
      <c r="M46" s="1335"/>
      <c r="N46" s="1335"/>
      <c r="O46" s="1335"/>
      <c r="P46" s="1192"/>
      <c r="Q46" s="1335"/>
      <c r="R46" s="1335"/>
      <c r="S46" s="2033"/>
      <c r="T46" s="1369"/>
      <c r="U46" s="1335"/>
      <c r="W46" s="1335"/>
      <c r="X46" s="1335"/>
      <c r="Y46" s="1369"/>
      <c r="Z46" s="1370"/>
      <c r="AA46" s="1335"/>
      <c r="AB46" s="1335"/>
      <c r="AC46" s="1335"/>
      <c r="AD46" s="1335"/>
      <c r="AE46" s="1335"/>
      <c r="AF46" s="1371"/>
      <c r="AG46" s="1335"/>
      <c r="AI46" s="1340"/>
      <c r="AJ46" s="1957"/>
    </row>
    <row r="47" spans="1:36" ht="16.350000000000001" customHeight="1">
      <c r="A47" s="1352" t="s">
        <v>145</v>
      </c>
      <c r="B47" s="1352"/>
      <c r="C47" s="1353"/>
      <c r="D47" s="1335"/>
      <c r="E47" s="1335"/>
      <c r="F47" s="1335"/>
      <c r="G47" s="1335"/>
      <c r="H47" s="1335"/>
      <c r="I47" s="1335"/>
      <c r="J47" s="1335"/>
      <c r="K47" s="1335"/>
      <c r="L47" s="1335"/>
      <c r="M47" s="1335"/>
      <c r="N47" s="1335"/>
      <c r="O47" s="1335"/>
      <c r="P47" s="1192"/>
      <c r="Q47" s="1335"/>
      <c r="R47" s="1335"/>
      <c r="S47" s="1369"/>
      <c r="T47" s="1369"/>
      <c r="U47" s="1335"/>
      <c r="V47" s="1335"/>
      <c r="W47" s="1335"/>
      <c r="X47" s="1335"/>
      <c r="Y47" s="1369"/>
      <c r="Z47" s="1370"/>
      <c r="AA47" s="1335"/>
      <c r="AB47" s="1335"/>
      <c r="AC47" s="1335"/>
      <c r="AD47" s="1335"/>
      <c r="AE47" s="1335"/>
      <c r="AF47" s="1371"/>
      <c r="AG47" s="1335"/>
      <c r="AI47" s="1340"/>
      <c r="AJ47" s="1957"/>
    </row>
    <row r="48" spans="1:36" ht="18" customHeight="1">
      <c r="A48" s="1353" t="s">
        <v>146</v>
      </c>
      <c r="B48" s="1353"/>
      <c r="C48" s="1353"/>
      <c r="D48" s="1381">
        <v>0</v>
      </c>
      <c r="E48" s="1335"/>
      <c r="F48" s="1381">
        <v>0</v>
      </c>
      <c r="G48" s="1335"/>
      <c r="H48" s="1381">
        <v>0</v>
      </c>
      <c r="I48" s="1335"/>
      <c r="J48" s="1381">
        <v>0</v>
      </c>
      <c r="K48" s="1335"/>
      <c r="L48" s="1381">
        <v>0</v>
      </c>
      <c r="M48" s="1335"/>
      <c r="N48" s="1381">
        <v>0</v>
      </c>
      <c r="O48" s="1335"/>
      <c r="P48" s="1381">
        <f>'Exhibit I'!I90</f>
        <v>0</v>
      </c>
      <c r="Q48" s="1335"/>
      <c r="R48" s="1381">
        <f>'Exhibit I'!AF90</f>
        <v>0</v>
      </c>
      <c r="S48" s="1369"/>
      <c r="T48" s="1369"/>
      <c r="U48" s="1335"/>
      <c r="V48" s="1335">
        <f>ROUND(SUM(D48)+SUM(H48)+SUM(L48)+SUM(P48),1)</f>
        <v>0</v>
      </c>
      <c r="W48" s="1381"/>
      <c r="X48" s="1335">
        <f>ROUND(SUM(F48)+SUM(J48)+SUM(N48)+SUM(R48),1)</f>
        <v>0</v>
      </c>
      <c r="Y48" s="2027"/>
      <c r="Z48" s="1394"/>
      <c r="AA48" s="1395"/>
      <c r="AB48" s="1193">
        <v>0</v>
      </c>
      <c r="AC48" s="1381"/>
      <c r="AD48" s="1382">
        <f>'Exhibit I'!AI90</f>
        <v>0</v>
      </c>
      <c r="AE48" s="1381"/>
      <c r="AF48" s="1396"/>
      <c r="AG48" s="1335">
        <f>X48-AD48</f>
        <v>0</v>
      </c>
      <c r="AI48" s="1191">
        <f>ROUND(IF(AD48=0,0,AG48/ABS(AD48)),3)</f>
        <v>0</v>
      </c>
      <c r="AJ48" s="1960"/>
    </row>
    <row r="49" spans="1:36" ht="18" customHeight="1">
      <c r="A49" s="1353" t="s">
        <v>147</v>
      </c>
      <c r="B49" s="1362" t="s">
        <v>148</v>
      </c>
      <c r="C49" s="1353"/>
      <c r="D49" s="1335">
        <f>'Exhibit F'!H128+'Exhibit F'!H129+'Exhibit F'!H130+'Exhibit F'!H131</f>
        <v>6883.0999999999985</v>
      </c>
      <c r="E49" s="1335"/>
      <c r="F49" s="1335">
        <f>'Exhibit F'!AC128+'Exhibit F'!AC129+'Exhibit F'!AC130+'Exhibit F'!AC131</f>
        <v>16353.300000000001</v>
      </c>
      <c r="G49" s="1335"/>
      <c r="H49" s="1335">
        <f>'Exhibit G'!H114-101.1</f>
        <v>647.49999999999989</v>
      </c>
      <c r="I49" s="1335"/>
      <c r="J49" s="1335">
        <f>'Exhibit G'!AE114</f>
        <v>1300.9000000000001</v>
      </c>
      <c r="K49" s="1335"/>
      <c r="L49" s="1335">
        <f>'Exhibit H'!F69</f>
        <v>207.2</v>
      </c>
      <c r="M49" s="1335"/>
      <c r="N49" s="1335">
        <f>'Exhibit H'!AA69</f>
        <v>483.9</v>
      </c>
      <c r="O49" s="1335"/>
      <c r="P49" s="1381">
        <f>'Exhibit I'!I91</f>
        <v>-1129.0999999999999</v>
      </c>
      <c r="Q49" s="1335"/>
      <c r="R49" s="1335">
        <f>'Exhibit I'!AF91</f>
        <v>-262.5</v>
      </c>
      <c r="S49" s="1369"/>
      <c r="T49" s="1369"/>
      <c r="U49" s="1335"/>
      <c r="V49" s="1335">
        <f>ROUND(SUM(D49)+SUM(H49)+SUM(L49)+SUM(P49),1)</f>
        <v>6608.7</v>
      </c>
      <c r="W49" s="1335" t="s">
        <v>103</v>
      </c>
      <c r="X49" s="1335">
        <f>ROUND(SUM(F49)+SUM(J49)+SUM(N49)+SUM(R49),1)</f>
        <v>17875.599999999999</v>
      </c>
      <c r="Y49" s="2027"/>
      <c r="Z49" s="1394"/>
      <c r="AA49" s="1395"/>
      <c r="AB49" s="1193">
        <v>7379.7</v>
      </c>
      <c r="AC49" s="1335"/>
      <c r="AD49" s="1335">
        <f>'Exhibit F'!AF128+'Exhibit F'!AF129+'Exhibit F'!AF130+'Exhibit F'!AF131+'Exhibit G'!AH114+'Exhibit H'!AD69+'Exhibit I'!AI91</f>
        <v>18384.599999999999</v>
      </c>
      <c r="AE49" s="1335"/>
      <c r="AF49" s="1371"/>
      <c r="AG49" s="1335">
        <f>ROUND(SUM(X49-AD49),1)</f>
        <v>-509</v>
      </c>
      <c r="AI49" s="1191">
        <f>ROUND(SUM((+X49-AD49)/ABS(AD49)),3)</f>
        <v>-2.8000000000000001E-2</v>
      </c>
      <c r="AJ49" s="1957"/>
    </row>
    <row r="50" spans="1:36" ht="17.100000000000001" customHeight="1">
      <c r="A50" s="1353" t="s">
        <v>149</v>
      </c>
      <c r="B50" s="1362" t="s">
        <v>148</v>
      </c>
      <c r="C50" s="1353"/>
      <c r="D50" s="1335">
        <f>'Exhibit F'!H132+'Exhibit F'!H134+'Exhibit F'!H135+'Exhibit F'!H133</f>
        <v>479.09999999999991</v>
      </c>
      <c r="E50" s="1335"/>
      <c r="F50" s="1335">
        <f>'Exhibit F'!AC132+'Exhibit F'!AC134+'Exhibit F'!AC135+'Exhibit F'!AC133</f>
        <v>-998.5</v>
      </c>
      <c r="G50" s="1335"/>
      <c r="H50" s="1335">
        <f>'Exhibit G'!H115+101.1</f>
        <v>-259.20000000000005</v>
      </c>
      <c r="I50" s="1335"/>
      <c r="J50" s="1335">
        <f>'Exhibit G'!AE115</f>
        <v>-552.70000000000005</v>
      </c>
      <c r="K50" s="1335"/>
      <c r="L50" s="1335">
        <f>'Exhibit H'!F70</f>
        <v>-6865.1000000000013</v>
      </c>
      <c r="M50" s="1335"/>
      <c r="N50" s="1335">
        <f>'Exhibit H'!AA70</f>
        <v>-16362.4</v>
      </c>
      <c r="O50" s="1335"/>
      <c r="P50" s="1381">
        <f>'Exhibit I'!I92</f>
        <v>-0.29999999999999982</v>
      </c>
      <c r="Q50" s="1335"/>
      <c r="R50" s="1335">
        <f>'Exhibit I'!AF92</f>
        <v>-3.4</v>
      </c>
      <c r="S50" s="1369"/>
      <c r="T50" s="1369"/>
      <c r="U50" s="1335"/>
      <c r="V50" s="1335">
        <f>ROUND(SUM(D50)+SUM(H50)+SUM(L50)+SUM(P50),1)</f>
        <v>-6645.5</v>
      </c>
      <c r="W50" s="1335" t="s">
        <v>103</v>
      </c>
      <c r="X50" s="1335">
        <f>ROUND(SUM(F50)+SUM(J50)+SUM(N50)+SUM(R50),1)</f>
        <v>-17917</v>
      </c>
      <c r="Y50" s="2027"/>
      <c r="Z50" s="1394"/>
      <c r="AA50" s="1395"/>
      <c r="AB50" s="1193">
        <v>-13415.6</v>
      </c>
      <c r="AC50" s="1335"/>
      <c r="AD50" s="1335">
        <f>'Exhibit F'!AF132+'Exhibit F'!AF133+'Exhibit F'!AF134+'Exhibit F'!AF135+'Exhibit G'!AH115+'Exhibit H'!AD70+'Exhibit I'!AI92</f>
        <v>-24423.699999999997</v>
      </c>
      <c r="AE50" s="1335"/>
      <c r="AF50" s="1371"/>
      <c r="AG50" s="1391">
        <f>ROUND(SUM(X50-AD50),1)*-1</f>
        <v>-6506.7</v>
      </c>
      <c r="AI50" s="1397">
        <f>-ROUND(SUM((+X50-AD50)/ABS(AD50)),3)</f>
        <v>-0.26600000000000001</v>
      </c>
      <c r="AJ50" s="1957"/>
    </row>
    <row r="51" spans="1:36" ht="18" customHeight="1">
      <c r="A51" s="1352" t="s">
        <v>150</v>
      </c>
      <c r="B51" s="1352"/>
      <c r="C51" s="1353"/>
      <c r="D51" s="1375">
        <f>ROUND(SUM(D48:D50),1)</f>
        <v>7362.2</v>
      </c>
      <c r="E51" s="1335"/>
      <c r="F51" s="1375">
        <f>ROUND(SUM(F48:F50),1)</f>
        <v>15354.8</v>
      </c>
      <c r="G51" s="1374"/>
      <c r="H51" s="1375">
        <f>ROUND(SUM(H48:H50),1)</f>
        <v>388.3</v>
      </c>
      <c r="I51" s="1374"/>
      <c r="J51" s="1375">
        <f>ROUND(SUM(J48:J50),1)</f>
        <v>748.2</v>
      </c>
      <c r="K51" s="1374"/>
      <c r="L51" s="1375">
        <f>ROUND(SUM(L48:L50),1)</f>
        <v>-6657.9</v>
      </c>
      <c r="M51" s="1374"/>
      <c r="N51" s="1375">
        <f>ROUND(SUM(N48:N50),1)</f>
        <v>-15878.5</v>
      </c>
      <c r="O51" s="1374"/>
      <c r="P51" s="1375">
        <f>ROUND(SUM(P48:P50),1)</f>
        <v>-1129.4000000000001</v>
      </c>
      <c r="Q51" s="1374"/>
      <c r="R51" s="1375">
        <f>ROUND(SUM(R48:R50),1)</f>
        <v>-265.89999999999998</v>
      </c>
      <c r="S51" s="1376"/>
      <c r="T51" s="1376"/>
      <c r="U51" s="1374"/>
      <c r="V51" s="1398">
        <f>ROUND(SUM(V48+V49+V50),1)</f>
        <v>-36.799999999999997</v>
      </c>
      <c r="W51" s="1374"/>
      <c r="X51" s="1398">
        <f>ROUND(SUM(+X48+X49+X50),1)</f>
        <v>-41.4</v>
      </c>
      <c r="Y51" s="2028"/>
      <c r="Z51" s="1399"/>
      <c r="AA51" s="1400"/>
      <c r="AB51" s="1398">
        <f>ROUND(SUM(+AB48+AB49+AB50),1)</f>
        <v>-6035.9</v>
      </c>
      <c r="AC51" s="1374"/>
      <c r="AD51" s="1398">
        <f>ROUND(SUM(+AD48+AD49+AD50),1)</f>
        <v>-6039.1</v>
      </c>
      <c r="AE51" s="1401"/>
      <c r="AF51" s="1378"/>
      <c r="AG51" s="1373">
        <f>ROUND(SUM(+AG49-AG50+AG48),1)</f>
        <v>5997.7</v>
      </c>
      <c r="AH51" s="1379"/>
      <c r="AI51" s="1393">
        <f>-ROUND(SUM(AG51/AD51),3)</f>
        <v>0.99299999999999999</v>
      </c>
      <c r="AJ51" s="1959"/>
    </row>
    <row r="52" spans="1:36" ht="16.350000000000001" customHeight="1">
      <c r="A52" s="1353"/>
      <c r="B52" s="1353"/>
      <c r="C52" s="1353"/>
      <c r="D52" s="1335"/>
      <c r="E52" s="1335"/>
      <c r="F52" s="1335" t="s">
        <v>103</v>
      </c>
      <c r="G52" s="1335"/>
      <c r="H52" s="1335" t="s">
        <v>103</v>
      </c>
      <c r="I52" s="1335"/>
      <c r="J52" s="1335" t="s">
        <v>103</v>
      </c>
      <c r="K52" s="1335"/>
      <c r="L52" s="1335" t="s">
        <v>103</v>
      </c>
      <c r="M52" s="1335"/>
      <c r="N52" s="1335"/>
      <c r="O52" s="1335"/>
      <c r="P52" s="1335" t="s">
        <v>103</v>
      </c>
      <c r="Q52" s="1335"/>
      <c r="R52" s="1335" t="s">
        <v>103</v>
      </c>
      <c r="S52" s="1369"/>
      <c r="T52" s="1369"/>
      <c r="U52" s="1335"/>
      <c r="V52" s="1335" t="s">
        <v>103</v>
      </c>
      <c r="W52" s="1335"/>
      <c r="X52" s="1335" t="s">
        <v>103</v>
      </c>
      <c r="Y52" s="1369"/>
      <c r="Z52" s="1370"/>
      <c r="AA52" s="1335"/>
      <c r="AB52" s="1335"/>
      <c r="AC52" s="1335"/>
      <c r="AD52" s="1335"/>
      <c r="AE52" s="1335"/>
      <c r="AF52" s="1371"/>
      <c r="AG52" s="1335"/>
      <c r="AI52" s="1340"/>
      <c r="AJ52" s="1957"/>
    </row>
    <row r="53" spans="1:36" ht="18" customHeight="1">
      <c r="A53" s="1352" t="s">
        <v>143</v>
      </c>
      <c r="B53" s="1352"/>
      <c r="C53" s="1353"/>
      <c r="D53" s="1335" t="s">
        <v>103</v>
      </c>
      <c r="E53" s="1335"/>
      <c r="F53" s="1335" t="s">
        <v>103</v>
      </c>
      <c r="G53" s="1335"/>
      <c r="H53" s="1335" t="s">
        <v>103</v>
      </c>
      <c r="I53" s="1335"/>
      <c r="J53" s="1335"/>
      <c r="K53" s="1335"/>
      <c r="L53" s="1335" t="s">
        <v>103</v>
      </c>
      <c r="M53" s="1335"/>
      <c r="N53" s="1335"/>
      <c r="O53" s="1335"/>
      <c r="P53" s="1335" t="s">
        <v>103</v>
      </c>
      <c r="Q53" s="1335"/>
      <c r="R53" s="1335"/>
      <c r="S53" s="1369"/>
      <c r="T53" s="1369"/>
      <c r="U53" s="1335"/>
      <c r="V53" s="1335" t="s">
        <v>103</v>
      </c>
      <c r="W53" s="1335"/>
      <c r="X53" s="1335"/>
      <c r="Y53" s="1369"/>
      <c r="Z53" s="1370"/>
      <c r="AA53" s="1335"/>
      <c r="AB53" s="1335"/>
      <c r="AC53" s="1335"/>
      <c r="AD53" s="1335"/>
      <c r="AE53" s="1335"/>
      <c r="AF53" s="1371"/>
      <c r="AG53" s="1335"/>
      <c r="AI53" s="1402"/>
      <c r="AJ53" s="1957"/>
    </row>
    <row r="54" spans="1:36" ht="18" customHeight="1">
      <c r="A54" s="1352" t="s">
        <v>151</v>
      </c>
      <c r="B54" s="1352"/>
      <c r="C54" s="1353"/>
      <c r="D54" s="1335"/>
      <c r="E54" s="1335"/>
      <c r="F54" s="1335"/>
      <c r="G54" s="1335"/>
      <c r="H54" s="1335"/>
      <c r="I54" s="1335"/>
      <c r="J54" s="1335"/>
      <c r="K54" s="1335"/>
      <c r="L54" s="1335"/>
      <c r="M54" s="1335"/>
      <c r="N54" s="1335"/>
      <c r="O54" s="1335"/>
      <c r="P54" s="1335"/>
      <c r="Q54" s="1335"/>
      <c r="R54" s="1335"/>
      <c r="S54" s="1369"/>
      <c r="T54" s="1369"/>
      <c r="U54" s="1335"/>
      <c r="V54" s="1335" t="s">
        <v>103</v>
      </c>
      <c r="W54" s="1335"/>
      <c r="X54" s="1335"/>
      <c r="Y54" s="1369"/>
      <c r="Z54" s="1370"/>
      <c r="AA54" s="1335"/>
      <c r="AB54" s="1335"/>
      <c r="AC54" s="1335"/>
      <c r="AD54" s="1335"/>
      <c r="AE54" s="1335"/>
      <c r="AF54" s="1371"/>
      <c r="AG54" s="1335"/>
      <c r="AI54" s="1340"/>
      <c r="AJ54" s="1957"/>
    </row>
    <row r="55" spans="1:36" ht="18" customHeight="1">
      <c r="A55" s="1352" t="s">
        <v>152</v>
      </c>
      <c r="B55" s="1352"/>
      <c r="C55" s="1353"/>
      <c r="D55" s="1374">
        <f>ROUND(SUM(D45+D51),1)</f>
        <v>8482.2000000000007</v>
      </c>
      <c r="E55" s="1374"/>
      <c r="F55" s="1374">
        <f>ROUND(SUM(F45)+SUM(F51),1)</f>
        <v>5966</v>
      </c>
      <c r="G55" s="1374"/>
      <c r="H55" s="1374">
        <f>ROUND(SUM(H45+H51),1)</f>
        <v>5107.1000000000004</v>
      </c>
      <c r="I55" s="1374"/>
      <c r="J55" s="1374">
        <f>ROUND(SUM(J45)+SUM(J51),1)</f>
        <v>8348</v>
      </c>
      <c r="K55" s="1374"/>
      <c r="L55" s="1374">
        <f>ROUND(SUM(L45+L51),1)</f>
        <v>-12.3</v>
      </c>
      <c r="M55" s="1374"/>
      <c r="N55" s="1374">
        <f>ROUND(SUM(N45+N51),1)</f>
        <v>153.5</v>
      </c>
      <c r="O55" s="1374"/>
      <c r="P55" s="1374">
        <f>ROUND(SUM(P45+P51),1)</f>
        <v>-367.1</v>
      </c>
      <c r="Q55" s="1374"/>
      <c r="R55" s="1374">
        <f>ROUND(SUM(R45+R51),1)</f>
        <v>-675.7</v>
      </c>
      <c r="S55" s="1376"/>
      <c r="T55" s="1376"/>
      <c r="U55" s="1374"/>
      <c r="V55" s="1374">
        <f>ROUND(SUM(V45)+SUM(V51),1)</f>
        <v>13209.9</v>
      </c>
      <c r="W55" s="1374"/>
      <c r="X55" s="1374">
        <f>ROUND(SUM(X45)+SUM(X51),1)</f>
        <v>13791.8</v>
      </c>
      <c r="Y55" s="2028"/>
      <c r="Z55" s="1399"/>
      <c r="AA55" s="1400"/>
      <c r="AB55" s="1374">
        <f>ROUND(SUM(AB45)+SUM(AB51),1)</f>
        <v>-2294.5</v>
      </c>
      <c r="AC55" s="1400"/>
      <c r="AD55" s="1">
        <f>ROUND(SUM(AD45)+SUM(AD51),1)</f>
        <v>-1056.9000000000001</v>
      </c>
      <c r="AE55" s="1400"/>
      <c r="AF55" s="1403"/>
      <c r="AG55" s="1374">
        <f>ROUND(SUM(+AG45+AG51),1)</f>
        <v>14848.7</v>
      </c>
      <c r="AH55" s="1379"/>
      <c r="AI55" s="1404">
        <f>ROUND(SUM((+X55-AD55)/ABS(AD55)),3)</f>
        <v>14.048999999999999</v>
      </c>
      <c r="AJ55" s="1959"/>
    </row>
    <row r="56" spans="1:36" ht="16.350000000000001" customHeight="1">
      <c r="A56" s="1352"/>
      <c r="B56" s="1352"/>
      <c r="C56" s="1353"/>
      <c r="D56" s="1335"/>
      <c r="E56" s="1335"/>
      <c r="F56" s="1335"/>
      <c r="G56" s="1335"/>
      <c r="H56" s="1335"/>
      <c r="I56" s="1335"/>
      <c r="J56" s="1335"/>
      <c r="K56" s="1335"/>
      <c r="L56" s="1335"/>
      <c r="M56" s="1335"/>
      <c r="N56" s="1335"/>
      <c r="O56" s="1335"/>
      <c r="P56" s="1335"/>
      <c r="Q56" s="1335"/>
      <c r="R56" s="1335"/>
      <c r="S56" s="1369"/>
      <c r="T56" s="1369"/>
      <c r="U56" s="1335"/>
      <c r="V56" s="1335"/>
      <c r="W56" s="1335"/>
      <c r="X56" s="1335"/>
      <c r="Y56" s="2027"/>
      <c r="Z56" s="1394"/>
      <c r="AA56" s="1395"/>
      <c r="AB56" s="1395"/>
      <c r="AC56" s="1395"/>
      <c r="AD56" s="253"/>
      <c r="AE56" s="1395"/>
      <c r="AF56" s="1405"/>
      <c r="AG56" s="1335"/>
      <c r="AI56" s="1340"/>
      <c r="AJ56" s="1957"/>
    </row>
    <row r="57" spans="1:36" ht="18" customHeight="1">
      <c r="A57" s="1406" t="s">
        <v>153</v>
      </c>
      <c r="B57" s="1362"/>
      <c r="C57" s="1353"/>
      <c r="D57" s="1392">
        <f>'Exhibit F'!H13</f>
        <v>53661.4</v>
      </c>
      <c r="E57" s="1374"/>
      <c r="F57" s="1392">
        <f>'Exhibit F'!D13</f>
        <v>56177.599999999999</v>
      </c>
      <c r="G57" s="1374"/>
      <c r="H57" s="1392">
        <f>'Exhibit G'!H13</f>
        <v>24449.5</v>
      </c>
      <c r="I57" s="1374"/>
      <c r="J57" s="1392">
        <f>'Exhibit G'!D13</f>
        <v>21208.6</v>
      </c>
      <c r="K57" s="1374"/>
      <c r="L57" s="1392">
        <f>'Exhibit H'!F13</f>
        <v>270.5</v>
      </c>
      <c r="M57" s="1374"/>
      <c r="N57" s="1392">
        <f>'Exhibit H'!B13</f>
        <v>104.7</v>
      </c>
      <c r="O57" s="1374"/>
      <c r="P57" s="1392">
        <f>'Exhibit I'!I13</f>
        <v>-2791.7</v>
      </c>
      <c r="Q57" s="1374"/>
      <c r="R57" s="1392">
        <f>'Exhibit I'!E13</f>
        <v>-2483.1</v>
      </c>
      <c r="S57" s="1376"/>
      <c r="T57" s="1376"/>
      <c r="U57" s="1374"/>
      <c r="V57" s="1392">
        <f>D57+H57+L57+P57</f>
        <v>75589.7</v>
      </c>
      <c r="W57" s="1374"/>
      <c r="X57" s="1392">
        <f>F57+J57+N57+R57</f>
        <v>75007.799999999988</v>
      </c>
      <c r="Y57" s="2028"/>
      <c r="Z57" s="1399"/>
      <c r="AA57" s="1400"/>
      <c r="AB57" s="2001">
        <v>74934</v>
      </c>
      <c r="AC57" s="1400"/>
      <c r="AD57" s="983">
        <f>'Exhibit F'!AF13+'Exhibit G'!AH13+'Exhibit H'!AD13+'Exhibit I'!AI13</f>
        <v>73696.399999999994</v>
      </c>
      <c r="AE57" s="1400"/>
      <c r="AF57" s="1403"/>
      <c r="AG57" s="1392">
        <f>ROUND(SUM(X57-AD57),1)</f>
        <v>1311.4</v>
      </c>
      <c r="AH57" s="1379"/>
      <c r="AI57" s="1407">
        <f>ROUND(SUM((+X57-AD57)/ABS(AD57)),3)</f>
        <v>1.7999999999999999E-2</v>
      </c>
      <c r="AJ57" s="1959"/>
    </row>
    <row r="58" spans="1:36" ht="16.350000000000001" customHeight="1">
      <c r="A58" s="1353"/>
      <c r="B58" s="1353"/>
      <c r="C58" s="1353"/>
      <c r="D58" s="1335"/>
      <c r="E58" s="1335"/>
      <c r="F58" s="1335"/>
      <c r="G58" s="1335"/>
      <c r="H58" s="1335"/>
      <c r="I58" s="1335"/>
      <c r="J58" s="1335"/>
      <c r="K58" s="1335"/>
      <c r="L58" s="1335"/>
      <c r="M58" s="1335"/>
      <c r="N58" s="1335"/>
      <c r="O58" s="1335"/>
      <c r="P58" s="1335"/>
      <c r="Q58" s="1335"/>
      <c r="R58" s="1335"/>
      <c r="S58" s="1369"/>
      <c r="T58" s="1369"/>
      <c r="U58" s="1335"/>
      <c r="V58" s="1335"/>
      <c r="W58" s="1335"/>
      <c r="X58" s="1335"/>
      <c r="Y58" s="2027"/>
      <c r="Z58" s="1394"/>
      <c r="AA58" s="1395"/>
      <c r="AB58" s="1395"/>
      <c r="AC58" s="1395"/>
      <c r="AD58" s="253"/>
      <c r="AE58" s="1395"/>
      <c r="AF58" s="1405"/>
      <c r="AG58" s="1335"/>
      <c r="AI58" s="1340"/>
      <c r="AJ58" s="1957"/>
    </row>
    <row r="59" spans="1:36" ht="18" customHeight="1" thickBot="1">
      <c r="A59" s="1406" t="s">
        <v>154</v>
      </c>
      <c r="B59" s="1386"/>
      <c r="C59" s="1191"/>
      <c r="D59" s="1408">
        <f>ROUND(SUM(D55+D57),1)</f>
        <v>62143.6</v>
      </c>
      <c r="E59" s="1409"/>
      <c r="F59" s="1408">
        <f>ROUND(SUM(F55+F57),1)</f>
        <v>62143.6</v>
      </c>
      <c r="G59" s="1409"/>
      <c r="H59" s="1408">
        <f>ROUND(SUM(H55+H57),1)</f>
        <v>29556.6</v>
      </c>
      <c r="I59" s="1409"/>
      <c r="J59" s="1408">
        <f>ROUND(SUM(J55)+SUM(J57),1)</f>
        <v>29556.6</v>
      </c>
      <c r="K59" s="1409"/>
      <c r="L59" s="1408">
        <f>ROUND(SUM(L55+L57),1)</f>
        <v>258.2</v>
      </c>
      <c r="M59" s="1409"/>
      <c r="N59" s="1408">
        <f>ROUND(SUM(N55+N57),1)</f>
        <v>258.2</v>
      </c>
      <c r="O59" s="1409"/>
      <c r="P59" s="1408">
        <f>ROUND(SUM(P55+P57),1)</f>
        <v>-3158.8</v>
      </c>
      <c r="Q59" s="1409"/>
      <c r="R59" s="1408">
        <f>ROUND(SUM(R55+R57),1)</f>
        <v>-3158.8</v>
      </c>
      <c r="S59" s="2034"/>
      <c r="T59" s="2034"/>
      <c r="U59" s="1409"/>
      <c r="V59" s="1408">
        <f>ROUND(SUM(V55+V57),1)</f>
        <v>88799.6</v>
      </c>
      <c r="W59" s="1409"/>
      <c r="X59" s="1408">
        <f>ROUND(SUM(X55+X57),1)</f>
        <v>88799.6</v>
      </c>
      <c r="Y59" s="2029"/>
      <c r="Z59" s="1410"/>
      <c r="AA59" s="1411"/>
      <c r="AB59" s="1408">
        <f>ROUND(SUM(AB55+AB57),1)</f>
        <v>72639.5</v>
      </c>
      <c r="AC59" s="1411"/>
      <c r="AD59" s="1308">
        <f>ROUND(SUM(AD55+AD57),1)</f>
        <v>72639.5</v>
      </c>
      <c r="AE59" s="1411"/>
      <c r="AF59" s="1412"/>
      <c r="AG59" s="1408">
        <f>ROUND(SUM(AG55+AG57),1)</f>
        <v>16160.1</v>
      </c>
      <c r="AH59" s="1379"/>
      <c r="AI59" s="1413">
        <f>ROUND(SUM((+X59-AD59)/ABS(AD59)),3)</f>
        <v>0.222</v>
      </c>
      <c r="AJ59" s="1959"/>
    </row>
    <row r="60" spans="1:36" ht="15.75" thickTop="1">
      <c r="A60" s="1416"/>
      <c r="B60" s="1416"/>
      <c r="C60" s="1416"/>
      <c r="D60" s="1353"/>
      <c r="E60" s="1353"/>
      <c r="F60" s="1353"/>
      <c r="G60" s="1353"/>
      <c r="H60" s="1353"/>
      <c r="I60" s="1353"/>
      <c r="J60" s="1353" t="s">
        <v>103</v>
      </c>
      <c r="K60" s="1353"/>
      <c r="L60" s="1353"/>
      <c r="M60" s="1353"/>
      <c r="N60" s="1353"/>
      <c r="O60" s="1353"/>
      <c r="P60" s="1353"/>
      <c r="Q60" s="1353"/>
      <c r="R60" s="1353"/>
      <c r="S60" s="1417"/>
      <c r="T60" s="1417"/>
      <c r="U60" s="1417"/>
      <c r="V60" s="1417" t="s">
        <v>103</v>
      </c>
      <c r="W60" s="1417"/>
      <c r="X60" s="1353"/>
      <c r="Y60" s="1417"/>
      <c r="Z60" s="1417"/>
      <c r="AA60" s="1417"/>
      <c r="AB60" s="1417"/>
      <c r="AC60" s="1417"/>
      <c r="AD60" s="1417"/>
      <c r="AE60" s="1417"/>
      <c r="AF60" s="1417"/>
      <c r="AG60" s="1417"/>
      <c r="AI60" s="1418"/>
      <c r="AJ60" s="1956"/>
    </row>
    <row r="61" spans="1:36" ht="15.75">
      <c r="A61" s="1419"/>
      <c r="B61" s="1379"/>
      <c r="C61" s="1379"/>
      <c r="P61" s="1419"/>
      <c r="R61" s="1419"/>
      <c r="T61" s="1341" t="s">
        <v>103</v>
      </c>
      <c r="V61" s="1341" t="s">
        <v>103</v>
      </c>
      <c r="X61" s="1340"/>
      <c r="AI61" s="1418"/>
      <c r="AJ61" s="1956"/>
    </row>
    <row r="62" spans="1:36" ht="15">
      <c r="AB62" s="2002"/>
      <c r="AD62" s="1340"/>
      <c r="AI62" s="1418"/>
      <c r="AJ62" s="1956"/>
    </row>
    <row r="63" spans="1:36" ht="15">
      <c r="V63" s="1341" t="s">
        <v>103</v>
      </c>
      <c r="AB63" s="2002"/>
      <c r="AI63" s="1418"/>
      <c r="AJ63" s="1956"/>
    </row>
    <row r="64" spans="1:36" ht="15.75">
      <c r="A64" s="1420"/>
      <c r="AI64" s="1418"/>
      <c r="AJ64" s="1956"/>
    </row>
    <row r="65" spans="1:36" ht="15.75">
      <c r="A65" s="1420"/>
      <c r="AB65" s="2002"/>
      <c r="AI65" s="1418"/>
      <c r="AJ65" s="1956"/>
    </row>
    <row r="66" spans="1:36" ht="15.75">
      <c r="A66" s="1421"/>
      <c r="B66" s="1422"/>
      <c r="C66" s="1419"/>
      <c r="D66" s="1423"/>
      <c r="E66" s="1423"/>
      <c r="F66" s="1423"/>
      <c r="G66" s="1423"/>
      <c r="H66" s="1423"/>
      <c r="I66" s="1423"/>
      <c r="J66" s="1423"/>
      <c r="K66" s="1423"/>
      <c r="L66" s="1423"/>
      <c r="AI66" s="1418"/>
      <c r="AJ66" s="1956"/>
    </row>
    <row r="67" spans="1:36" ht="15">
      <c r="A67" s="1340"/>
      <c r="B67" s="1340"/>
      <c r="C67" s="1340"/>
      <c r="D67" s="1340"/>
      <c r="E67" s="1340"/>
      <c r="F67" s="1340"/>
      <c r="G67" s="1340"/>
      <c r="H67" s="1340"/>
      <c r="I67" s="1340"/>
      <c r="J67" s="1340"/>
      <c r="K67" s="1340"/>
      <c r="L67" s="1340"/>
      <c r="N67" s="1341" t="s">
        <v>103</v>
      </c>
      <c r="AI67" s="1418"/>
      <c r="AJ67" s="1956"/>
    </row>
    <row r="68" spans="1:36" ht="15">
      <c r="A68" s="1340"/>
      <c r="B68" s="1340"/>
      <c r="C68" s="1340"/>
      <c r="D68" s="1340"/>
      <c r="E68" s="1340"/>
      <c r="F68" s="1340"/>
      <c r="G68" s="1340"/>
      <c r="H68" s="1340"/>
      <c r="I68" s="1340"/>
      <c r="J68" s="1340"/>
      <c r="K68" s="1340"/>
      <c r="L68" s="1340"/>
      <c r="N68" s="1341" t="s">
        <v>103</v>
      </c>
      <c r="AI68" s="1418"/>
      <c r="AJ68" s="1956"/>
    </row>
    <row r="69" spans="1:36" ht="15">
      <c r="A69" s="1340"/>
      <c r="B69" s="1340"/>
      <c r="C69" s="1340"/>
      <c r="D69" s="1340"/>
      <c r="E69" s="1340"/>
      <c r="F69" s="1340"/>
      <c r="G69" s="1340"/>
      <c r="H69" s="1340"/>
      <c r="I69" s="1340"/>
      <c r="J69" s="1340"/>
      <c r="K69" s="1340"/>
      <c r="L69" s="1340"/>
      <c r="AI69" s="1418"/>
      <c r="AJ69" s="1956"/>
    </row>
    <row r="70" spans="1:36" ht="15">
      <c r="AI70" s="1418"/>
      <c r="AJ70" s="1956"/>
    </row>
    <row r="71" spans="1:36" ht="15">
      <c r="AI71" s="1418"/>
      <c r="AJ71" s="1956"/>
    </row>
    <row r="72" spans="1:36" ht="15">
      <c r="AI72" s="1418"/>
      <c r="AJ72" s="1956"/>
    </row>
    <row r="73" spans="1:36" ht="15">
      <c r="AI73" s="1418"/>
      <c r="AJ73" s="1956"/>
    </row>
    <row r="74" spans="1:36" ht="15">
      <c r="AI74" s="1418"/>
      <c r="AJ74" s="1956"/>
    </row>
    <row r="75" spans="1:36" ht="15">
      <c r="AI75" s="1418"/>
      <c r="AJ75" s="1956"/>
    </row>
    <row r="76" spans="1:36" ht="15">
      <c r="AI76" s="1418"/>
      <c r="AJ76" s="1956"/>
    </row>
    <row r="77" spans="1:36" ht="15">
      <c r="AI77" s="1418"/>
      <c r="AJ77" s="1956"/>
    </row>
    <row r="78" spans="1:36" ht="15">
      <c r="AI78" s="1418"/>
      <c r="AJ78" s="1956"/>
    </row>
    <row r="79" spans="1:36" ht="15">
      <c r="AI79" s="1418"/>
      <c r="AJ79" s="1956"/>
    </row>
    <row r="80" spans="1:36" ht="15">
      <c r="AI80" s="1418"/>
      <c r="AJ80" s="1956"/>
    </row>
    <row r="81" spans="35:36" ht="15">
      <c r="AI81" s="1418"/>
      <c r="AJ81" s="1956"/>
    </row>
    <row r="82" spans="35:36" ht="15">
      <c r="AI82" s="1418"/>
      <c r="AJ82" s="1956"/>
    </row>
    <row r="83" spans="35:36" ht="15">
      <c r="AI83" s="1418"/>
      <c r="AJ83" s="1956"/>
    </row>
    <row r="84" spans="35:36" ht="15">
      <c r="AI84" s="1418"/>
      <c r="AJ84" s="1956"/>
    </row>
    <row r="85" spans="35:36" ht="15">
      <c r="AI85" s="1418"/>
      <c r="AJ85" s="1956"/>
    </row>
    <row r="86" spans="35:36" ht="15">
      <c r="AI86" s="1418"/>
      <c r="AJ86" s="1956"/>
    </row>
    <row r="87" spans="35:36" ht="15">
      <c r="AI87" s="1418"/>
      <c r="AJ87" s="1956"/>
    </row>
    <row r="88" spans="35:36" ht="15">
      <c r="AI88" s="1418"/>
      <c r="AJ88" s="1956"/>
    </row>
    <row r="89" spans="35:36" ht="15">
      <c r="AI89" s="1418"/>
      <c r="AJ89" s="1956"/>
    </row>
    <row r="90" spans="35:36" ht="15">
      <c r="AI90" s="1418"/>
      <c r="AJ90" s="1956"/>
    </row>
    <row r="91" spans="35:36" ht="15">
      <c r="AI91" s="1418"/>
      <c r="AJ91" s="1956"/>
    </row>
    <row r="92" spans="35:36" ht="15">
      <c r="AI92" s="1418"/>
      <c r="AJ92" s="1956"/>
    </row>
    <row r="93" spans="35:36" ht="15">
      <c r="AI93" s="1418"/>
      <c r="AJ93" s="1956"/>
    </row>
    <row r="94" spans="35:36" ht="15">
      <c r="AI94" s="1418"/>
      <c r="AJ94" s="1956"/>
    </row>
    <row r="95" spans="35:36" ht="15">
      <c r="AI95" s="1418"/>
      <c r="AJ95" s="1956"/>
    </row>
    <row r="96" spans="35:36" ht="15">
      <c r="AI96" s="1418"/>
      <c r="AJ96" s="1956"/>
    </row>
    <row r="97" spans="35:36" ht="15">
      <c r="AI97" s="1418"/>
      <c r="AJ97" s="1956"/>
    </row>
    <row r="98" spans="35:36" ht="15">
      <c r="AI98" s="1418"/>
      <c r="AJ98" s="1956"/>
    </row>
    <row r="99" spans="35:36" ht="15">
      <c r="AI99" s="1418"/>
      <c r="AJ99" s="1956"/>
    </row>
    <row r="100" spans="35:36" ht="15">
      <c r="AI100" s="1418"/>
      <c r="AJ100" s="1956"/>
    </row>
    <row r="101" spans="35:36" ht="15">
      <c r="AI101" s="1418"/>
      <c r="AJ101" s="1956"/>
    </row>
    <row r="102" spans="35:36" ht="15">
      <c r="AI102" s="1418"/>
      <c r="AJ102" s="1956"/>
    </row>
    <row r="103" spans="35:36" ht="15">
      <c r="AI103" s="1418"/>
      <c r="AJ103" s="1956"/>
    </row>
    <row r="104" spans="35:36" ht="15">
      <c r="AI104" s="1418"/>
      <c r="AJ104" s="1956"/>
    </row>
    <row r="105" spans="35:36" ht="15">
      <c r="AI105" s="1418"/>
      <c r="AJ105" s="1956"/>
    </row>
    <row r="106" spans="35:36" ht="15">
      <c r="AI106" s="1418"/>
      <c r="AJ106" s="1956"/>
    </row>
  </sheetData>
  <customSheetViews>
    <customSheetView guid="{83D69B98-1714-4D17-901F-87B47BE66947}" scale="80" showPageBreaks="1" showGridLines="0" fitToPage="1" printArea="1">
      <pageMargins left="0.25" right="0.25" top="0.5" bottom="0.25" header="0" footer="0.25"/>
      <printOptions horizontalCentered="1"/>
      <pageSetup scale="42" firstPageNumber="2" orientation="landscape" useFirstPageNumber="1" r:id="rId1"/>
      <headerFooter scaleWithDoc="0" alignWithMargins="0">
        <oddFooter>&amp;C&amp;8&amp;P</oddFooter>
      </headerFooter>
    </customSheetView>
    <customSheetView guid="{F9AE1502-86F7-4AAA-AE66-F6A75A634C1B}" scale="80" showPageBreaks="1" showGridLines="0" fitToPage="1" printArea="1" topLeftCell="A5">
      <selection activeCell="R28" sqref="R28"/>
      <pageMargins left="0.25" right="0.25" top="0.5" bottom="0.25" header="0" footer="0.25"/>
      <printOptions horizontalCentered="1"/>
      <pageSetup scale="43" firstPageNumber="2" orientation="landscape" useFirstPageNumber="1" r:id="rId2"/>
      <headerFooter scaleWithDoc="0" alignWithMargins="0">
        <oddFooter>&amp;C&amp;8&amp;P</oddFooter>
      </headerFooter>
    </customSheetView>
    <customSheetView guid="{C41E3923-0A88-49D0-AE43-0E74D386A056}" scale="80" showPageBreaks="1" showGridLines="0" fitToPage="1" printArea="1">
      <selection activeCell="A38" sqref="A38"/>
      <pageMargins left="0.25" right="0.25" top="0.5" bottom="0.25" header="0" footer="0.25"/>
      <printOptions horizontalCentered="1"/>
      <pageSetup scale="42" firstPageNumber="2" orientation="landscape" useFirstPageNumber="1" r:id="rId3"/>
      <headerFooter scaleWithDoc="0" alignWithMargins="0">
        <oddFooter>&amp;C&amp;8&amp;P</oddFooter>
      </headerFooter>
    </customSheetView>
    <customSheetView guid="{1DF171D7-3BFC-49F6-B708-0F91FCFAB6E2}" scale="80" showPageBreaks="1" showGridLines="0" fitToPage="1" printArea="1" topLeftCell="A25">
      <selection activeCell="J48" sqref="J48"/>
      <pageMargins left="0.25" right="0.25" top="0.5" bottom="0.25" header="0" footer="0.25"/>
      <printOptions horizontalCentered="1"/>
      <pageSetup scale="42" firstPageNumber="2" orientation="landscape" useFirstPageNumber="1" r:id="rId4"/>
      <headerFooter scaleWithDoc="0" alignWithMargins="0">
        <oddFooter>&amp;C&amp;8&amp;P</oddFooter>
      </headerFooter>
    </customSheetView>
    <customSheetView guid="{9F00D83C-7F4F-41B5-9976-8610D9EBC976}" scale="80" showPageBreaks="1" showGridLines="0" fitToPage="1" printArea="1" topLeftCell="A33">
      <selection activeCell="R28" sqref="R28"/>
      <pageMargins left="0.25" right="0.25" top="0.5" bottom="0.25" header="0" footer="0.25"/>
      <printOptions horizontalCentered="1"/>
      <pageSetup scale="43" firstPageNumber="2"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A26">
      <selection activeCell="H57" sqref="H57"/>
      <pageMargins left="0.25" right="0.25" top="0.5" bottom="0.25" header="0" footer="0.25"/>
      <printOptions horizontalCentered="1"/>
      <pageSetup scale="42" firstPageNumber="2"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L33">
      <selection activeCell="AJ34" sqref="AJ34"/>
      <pageMargins left="0.25" right="0.25" top="0.5" bottom="0.25" header="0" footer="0.25"/>
      <printOptions horizontalCentered="1"/>
      <pageSetup scale="42" firstPageNumber="2" orientation="landscape" useFirstPageNumber="1" r:id="rId7"/>
      <headerFooter scaleWithDoc="0" alignWithMargins="0">
        <oddFooter>&amp;C&amp;8&amp;P</oddFooter>
      </headerFooter>
    </customSheetView>
    <customSheetView guid="{C3636880-B45B-4897-94F2-F91976416934}" scale="80" showPageBreaks="1" showGridLines="0" fitToPage="1" printArea="1" topLeftCell="A5">
      <selection activeCell="R28" sqref="R28"/>
      <pageMargins left="0.25" right="0.25" top="0.5" bottom="0.25" header="0" footer="0.25"/>
      <printOptions horizontalCentered="1"/>
      <pageSetup scale="43" firstPageNumber="2" orientation="landscape" useFirstPageNumber="1" r:id="rId8"/>
      <headerFooter scaleWithDoc="0" alignWithMargins="0">
        <oddFooter>&amp;C&amp;8&amp;P</oddFooter>
      </headerFooter>
    </customSheetView>
  </customSheetViews>
  <mergeCells count="1">
    <mergeCell ref="V10:AI10"/>
  </mergeCells>
  <printOptions horizontalCentered="1"/>
  <pageMargins left="0.25" right="0.25" top="0.5" bottom="0.25" header="0" footer="0.25"/>
  <pageSetup scale="43" firstPageNumber="2" orientation="landscape" useFirstPageNumber="1" r:id="rId9"/>
  <headerFooter scaleWithDoc="0" alignWithMargins="0">
    <oddFooter>&amp;C&amp;8&amp;P</oddFooter>
  </headerFooter>
  <customProperties>
    <customPr name="SheetOptions" r:id="rId10"/>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E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L123"/>
  <sheetViews>
    <sheetView showGridLines="0" zoomScale="80" workbookViewId="0"/>
  </sheetViews>
  <sheetFormatPr defaultColWidth="8.88671875" defaultRowHeight="12.75"/>
  <cols>
    <col min="1" max="1" width="1.88671875" style="63" customWidth="1"/>
    <col min="2" max="2" width="42.44140625" style="63" customWidth="1"/>
    <col min="3" max="3" width="1.88671875" style="63" customWidth="1"/>
    <col min="4" max="4" width="12.109375" style="63" customWidth="1"/>
    <col min="5" max="5" width="1.88671875" style="63" customWidth="1"/>
    <col min="6" max="6" width="12.88671875" style="63" customWidth="1"/>
    <col min="7" max="7" width="1.88671875" style="63" customWidth="1"/>
    <col min="8" max="8" width="13.109375" style="63" customWidth="1"/>
    <col min="9" max="9" width="1.88671875" style="63" customWidth="1"/>
    <col min="10" max="10" width="13.109375" style="63" customWidth="1"/>
    <col min="11" max="11" width="1.88671875" style="63" customWidth="1"/>
    <col min="12" max="12" width="13.109375" style="63" customWidth="1"/>
    <col min="13" max="13" width="1.88671875" style="63" customWidth="1"/>
    <col min="14" max="14" width="14" style="63" customWidth="1"/>
    <col min="15" max="15" width="1.88671875" style="63" customWidth="1"/>
    <col min="16" max="16" width="11.88671875" style="63" customWidth="1"/>
    <col min="17" max="17" width="1.88671875" style="63" customWidth="1"/>
    <col min="18" max="18" width="11.5546875" style="63" customWidth="1"/>
    <col min="19" max="19" width="1.88671875" style="63" customWidth="1"/>
    <col min="20" max="20" width="12.109375" style="63" customWidth="1"/>
    <col min="21" max="21" width="1.88671875" style="63" customWidth="1"/>
    <col min="22" max="22" width="13" style="63" customWidth="1"/>
    <col min="23" max="23" width="1.88671875" style="63" customWidth="1"/>
    <col min="24" max="24" width="12.109375" style="63" customWidth="1"/>
    <col min="25" max="25" width="1.88671875" style="63" customWidth="1"/>
    <col min="26" max="26" width="12.88671875" style="63" customWidth="1"/>
    <col min="27" max="28" width="1.88671875" style="63" customWidth="1"/>
    <col min="29" max="29" width="12.88671875" style="63" customWidth="1"/>
    <col min="30" max="31" width="1.44140625" style="63" customWidth="1"/>
    <col min="32" max="32" width="12.88671875" style="63" customWidth="1"/>
    <col min="33" max="34" width="1.44140625" style="63" customWidth="1"/>
    <col min="35" max="35" width="12.88671875" style="63" customWidth="1"/>
    <col min="36" max="36" width="1" style="63" customWidth="1"/>
    <col min="37" max="37" width="12.88671875" style="63" customWidth="1"/>
    <col min="38" max="38" width="9.109375" style="1528" bestFit="1" customWidth="1"/>
    <col min="39" max="16384" width="8.88671875" style="63"/>
  </cols>
  <sheetData>
    <row r="1" spans="1:38" ht="15">
      <c r="B1" s="265" t="s">
        <v>97</v>
      </c>
    </row>
    <row r="2" spans="1:38" ht="15.75">
      <c r="M2" s="3"/>
      <c r="N2" s="3"/>
      <c r="O2" s="71"/>
    </row>
    <row r="3" spans="1:38" ht="20.25" customHeight="1">
      <c r="B3" s="65" t="s">
        <v>98</v>
      </c>
      <c r="M3" s="3"/>
      <c r="N3" s="3"/>
      <c r="O3" s="71"/>
      <c r="AE3" s="23"/>
      <c r="AF3" s="23"/>
      <c r="AG3" s="23"/>
      <c r="AH3" s="23"/>
      <c r="AI3" s="23"/>
      <c r="AJ3" s="23"/>
      <c r="AK3" s="106" t="s">
        <v>472</v>
      </c>
    </row>
    <row r="4" spans="1:38" ht="18">
      <c r="B4" s="65" t="s">
        <v>521</v>
      </c>
      <c r="L4" s="3"/>
      <c r="M4" s="3"/>
      <c r="O4" s="71"/>
    </row>
    <row r="5" spans="1:38" ht="18">
      <c r="B5" s="50" t="s">
        <v>444</v>
      </c>
      <c r="L5" s="71"/>
      <c r="M5" s="71"/>
      <c r="O5" s="71"/>
      <c r="X5" s="78"/>
    </row>
    <row r="6" spans="1:38" ht="20.25">
      <c r="B6" s="540" t="str">
        <f>'Cashflow Governmental'!A6</f>
        <v>FISCAL YEAR 2026-2027</v>
      </c>
      <c r="L6" s="71"/>
      <c r="M6" s="71"/>
      <c r="O6" s="71"/>
      <c r="AK6" s="72"/>
    </row>
    <row r="7" spans="1:38" ht="18">
      <c r="B7" s="65" t="s">
        <v>522</v>
      </c>
      <c r="AH7" s="35"/>
      <c r="AI7" s="35"/>
      <c r="AJ7" s="35"/>
      <c r="AK7" s="35"/>
    </row>
    <row r="8" spans="1:38" ht="13.5" customHeight="1">
      <c r="D8" s="1127"/>
      <c r="L8" s="71"/>
      <c r="M8" s="71"/>
      <c r="N8" s="71"/>
      <c r="O8" s="71"/>
      <c r="AB8" s="35"/>
      <c r="AC8" s="71"/>
      <c r="AD8" s="71"/>
      <c r="AE8" s="35"/>
      <c r="AF8" s="35"/>
      <c r="AG8" s="35"/>
      <c r="AH8" s="71"/>
      <c r="AI8" s="71"/>
      <c r="AJ8" s="71"/>
      <c r="AK8" s="71"/>
    </row>
    <row r="9" spans="1:38" ht="20.25" customHeight="1">
      <c r="D9" s="1118"/>
      <c r="M9" s="71"/>
      <c r="N9" s="71"/>
      <c r="O9" s="71"/>
      <c r="AB9" s="2067" t="str">
        <f>'Exhibit G'!AD9</f>
        <v>3 Months Ended June 30</v>
      </c>
      <c r="AC9" s="2065"/>
      <c r="AD9" s="2065"/>
      <c r="AE9" s="2065"/>
      <c r="AF9" s="2065"/>
      <c r="AG9" s="2065"/>
      <c r="AH9" s="2065"/>
      <c r="AI9" s="2065"/>
      <c r="AJ9" s="2065"/>
      <c r="AK9" s="2065"/>
    </row>
    <row r="10" spans="1:38" ht="15.7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20" t="s">
        <v>111</v>
      </c>
    </row>
    <row r="11" spans="1:38" ht="15.75">
      <c r="B11" s="364"/>
      <c r="C11" s="364"/>
      <c r="D11" s="1217" t="s">
        <v>329</v>
      </c>
      <c r="E11" s="3"/>
      <c r="F11" s="1217" t="s">
        <v>330</v>
      </c>
      <c r="G11" s="3"/>
      <c r="H11" s="1217" t="s">
        <v>331</v>
      </c>
      <c r="I11" s="3"/>
      <c r="J11" s="1217" t="s">
        <v>332</v>
      </c>
      <c r="K11" s="3"/>
      <c r="L11" s="1217" t="s">
        <v>333</v>
      </c>
      <c r="M11" s="3"/>
      <c r="N11" s="1217" t="s">
        <v>445</v>
      </c>
      <c r="O11" s="3"/>
      <c r="P11" s="1217" t="s">
        <v>446</v>
      </c>
      <c r="Q11" s="3"/>
      <c r="R11" s="1217" t="s">
        <v>336</v>
      </c>
      <c r="S11" s="3"/>
      <c r="T11" s="1217" t="s">
        <v>337</v>
      </c>
      <c r="U11" s="3"/>
      <c r="V11" s="1217" t="s">
        <v>338</v>
      </c>
      <c r="W11" s="3"/>
      <c r="X11" s="1217" t="s">
        <v>339</v>
      </c>
      <c r="Y11" s="3"/>
      <c r="Z11" s="1217" t="s">
        <v>447</v>
      </c>
      <c r="AA11" s="3"/>
      <c r="AB11" s="3"/>
      <c r="AC11" s="1220" t="str">
        <f>'Cashflow Governmental'!AB14</f>
        <v>2026</v>
      </c>
      <c r="AD11" s="314"/>
      <c r="AE11" s="52" t="s">
        <v>103</v>
      </c>
      <c r="AF11" s="1220" t="str">
        <f>'Cashflow Governmental'!AE14</f>
        <v>2025</v>
      </c>
      <c r="AG11" s="314"/>
      <c r="AH11" s="57"/>
      <c r="AI11" s="415" t="s">
        <v>112</v>
      </c>
      <c r="AJ11" s="320"/>
      <c r="AK11" s="415" t="s">
        <v>113</v>
      </c>
    </row>
    <row r="12" spans="1:38" ht="5.25" customHeight="1">
      <c r="B12" s="364"/>
      <c r="C12" s="364"/>
      <c r="D12" s="52"/>
      <c r="E12" s="3"/>
      <c r="F12" s="52"/>
      <c r="G12" s="3"/>
      <c r="H12" s="52"/>
      <c r="I12" s="3"/>
      <c r="J12" s="52"/>
      <c r="K12" s="3"/>
      <c r="L12" s="52"/>
      <c r="M12" s="3"/>
      <c r="N12" s="52"/>
      <c r="O12" s="3"/>
      <c r="P12" s="52"/>
      <c r="Q12" s="3"/>
      <c r="R12" s="52"/>
      <c r="S12" s="3"/>
      <c r="T12" s="52"/>
      <c r="U12" s="3"/>
      <c r="V12" s="52"/>
      <c r="W12" s="3"/>
      <c r="X12" s="52"/>
      <c r="Y12" s="3"/>
      <c r="Z12" s="52"/>
      <c r="AA12" s="3"/>
      <c r="AB12" s="3"/>
      <c r="AC12" s="314"/>
      <c r="AD12" s="314"/>
      <c r="AE12" s="52"/>
      <c r="AF12" s="314"/>
      <c r="AG12" s="314"/>
      <c r="AH12" s="57"/>
      <c r="AI12" s="320"/>
      <c r="AJ12" s="320"/>
      <c r="AK12" s="320"/>
    </row>
    <row r="13" spans="1:38" ht="15.75">
      <c r="B13" s="3" t="s">
        <v>523</v>
      </c>
      <c r="C13" s="364"/>
      <c r="D13" s="82">
        <v>12731.9</v>
      </c>
      <c r="E13" s="3"/>
      <c r="F13" s="27">
        <f>D121</f>
        <v>13987.6</v>
      </c>
      <c r="G13" s="27"/>
      <c r="H13" s="27">
        <f>F121</f>
        <v>15627.6</v>
      </c>
      <c r="I13" s="3"/>
      <c r="J13" s="27"/>
      <c r="K13" s="3"/>
      <c r="L13" s="27"/>
      <c r="M13" s="3"/>
      <c r="N13" s="27"/>
      <c r="O13" s="3"/>
      <c r="P13" s="27"/>
      <c r="Q13" s="3"/>
      <c r="R13" s="27"/>
      <c r="S13" s="27"/>
      <c r="T13" s="27"/>
      <c r="U13" s="27"/>
      <c r="V13" s="27"/>
      <c r="W13" s="27"/>
      <c r="X13" s="27"/>
      <c r="Y13" s="27"/>
      <c r="Z13" s="27"/>
      <c r="AA13" s="3"/>
      <c r="AB13" s="671"/>
      <c r="AC13" s="1944">
        <f>D13</f>
        <v>12731.9</v>
      </c>
      <c r="AD13" s="314"/>
      <c r="AE13" s="1945"/>
      <c r="AF13" s="1943">
        <v>10288.700000000001</v>
      </c>
      <c r="AG13" s="314"/>
      <c r="AH13" s="1031"/>
      <c r="AI13" s="1759">
        <f>_xlfn.SINGLE(ROUND(SUM(+AC13-AF13),1))</f>
        <v>2443.1999999999998</v>
      </c>
      <c r="AJ13" s="13"/>
      <c r="AK13" s="74">
        <f>_xlfn.SINGLE(ROUND(IF(AF13=0,1,AI13/ABS(AF13)),3))</f>
        <v>0.23699999999999999</v>
      </c>
      <c r="AL13" s="1526"/>
    </row>
    <row r="14" spans="1:38" ht="15.75">
      <c r="B14" s="3"/>
      <c r="C14" s="364"/>
      <c r="D14" s="52"/>
      <c r="E14" s="3"/>
      <c r="F14" s="52"/>
      <c r="G14" s="52"/>
      <c r="H14" s="52"/>
      <c r="I14" s="3"/>
      <c r="J14" s="52"/>
      <c r="K14" s="3"/>
      <c r="L14" s="52"/>
      <c r="M14" s="3"/>
      <c r="N14" s="52"/>
      <c r="O14" s="3"/>
      <c r="P14" s="52"/>
      <c r="Q14" s="3"/>
      <c r="R14" s="52"/>
      <c r="S14" s="3"/>
      <c r="T14" s="52"/>
      <c r="U14" s="3"/>
      <c r="V14" s="52"/>
      <c r="W14" s="3"/>
      <c r="X14" s="52"/>
      <c r="Y14" s="3"/>
      <c r="Z14" s="52"/>
      <c r="AA14" s="3"/>
      <c r="AB14" s="671"/>
      <c r="AC14" s="314"/>
      <c r="AD14" s="314"/>
      <c r="AE14" s="1945"/>
      <c r="AF14" s="314"/>
      <c r="AG14" s="314"/>
      <c r="AH14" s="1031"/>
      <c r="AI14" s="320"/>
      <c r="AJ14" s="320"/>
      <c r="AK14" s="320"/>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46"/>
      <c r="AC15" s="364"/>
      <c r="AD15" s="364"/>
      <c r="AE15" s="1046"/>
      <c r="AF15" s="364"/>
      <c r="AG15" s="364"/>
      <c r="AH15" s="1031"/>
      <c r="AI15" s="364"/>
      <c r="AJ15" s="364"/>
      <c r="AK15" s="364"/>
    </row>
    <row r="16" spans="1:38" ht="15" customHeight="1">
      <c r="A16" s="35"/>
      <c r="B16" s="1216" t="s">
        <v>342</v>
      </c>
      <c r="C16" s="291"/>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1046"/>
      <c r="AC16" s="364"/>
      <c r="AD16" s="364"/>
      <c r="AE16" s="1046"/>
      <c r="AF16" s="364"/>
      <c r="AG16" s="1033"/>
      <c r="AH16" s="364"/>
      <c r="AI16" s="364"/>
      <c r="AJ16" s="364"/>
      <c r="AK16" s="364"/>
    </row>
    <row r="17" spans="1:38" s="321" customFormat="1" ht="15" customHeight="1">
      <c r="A17" s="417"/>
      <c r="B17" s="412" t="s">
        <v>479</v>
      </c>
      <c r="C17" s="3"/>
      <c r="D17" s="367">
        <v>0</v>
      </c>
      <c r="E17" s="367"/>
      <c r="F17" s="367">
        <v>0</v>
      </c>
      <c r="G17" s="367"/>
      <c r="H17" s="367">
        <f>$AC17-F17-D17</f>
        <v>0</v>
      </c>
      <c r="I17" s="264"/>
      <c r="J17" s="367"/>
      <c r="K17" s="553"/>
      <c r="L17" s="367"/>
      <c r="M17" s="606"/>
      <c r="N17" s="367"/>
      <c r="O17" s="606"/>
      <c r="P17" s="367"/>
      <c r="Q17" s="606"/>
      <c r="R17" s="367"/>
      <c r="S17" s="367"/>
      <c r="T17" s="367"/>
      <c r="U17" s="367"/>
      <c r="V17" s="367"/>
      <c r="W17" s="606"/>
      <c r="X17" s="367"/>
      <c r="Y17" s="367"/>
      <c r="Z17" s="367"/>
      <c r="AA17" s="274"/>
      <c r="AB17" s="1108"/>
      <c r="AC17" s="531">
        <v>0</v>
      </c>
      <c r="AD17" s="276"/>
      <c r="AE17" s="1777"/>
      <c r="AF17" s="531">
        <v>0</v>
      </c>
      <c r="AG17" s="1781"/>
      <c r="AH17" s="274"/>
      <c r="AI17" s="264">
        <f>_xlfn.SINGLE(ROUND(SUM(+AC17-AF17),1))</f>
        <v>0</v>
      </c>
      <c r="AJ17" s="264"/>
      <c r="AK17" s="283">
        <f>_xlfn.SINGLE(ROUND(IF(AF17=0,0,AI17/ABS(AF17)),3))</f>
        <v>0</v>
      </c>
      <c r="AL17" s="1526"/>
    </row>
    <row r="18" spans="1:38" s="321" customFormat="1" ht="6" customHeight="1">
      <c r="A18" s="417"/>
      <c r="B18" s="412"/>
      <c r="C18" s="3"/>
      <c r="D18" s="367" t="s">
        <v>103</v>
      </c>
      <c r="E18" s="20"/>
      <c r="F18" s="367"/>
      <c r="G18" s="367"/>
      <c r="H18" s="367"/>
      <c r="I18" s="20"/>
      <c r="J18" s="367"/>
      <c r="K18" s="20"/>
      <c r="L18" s="367"/>
      <c r="M18" s="20"/>
      <c r="N18" s="367"/>
      <c r="O18" s="20"/>
      <c r="P18" s="367"/>
      <c r="Q18" s="20"/>
      <c r="R18" s="367"/>
      <c r="S18" s="20"/>
      <c r="T18" s="367"/>
      <c r="U18" s="20"/>
      <c r="V18" s="367"/>
      <c r="W18" s="20"/>
      <c r="X18" s="367"/>
      <c r="Y18" s="20"/>
      <c r="Z18" s="367"/>
      <c r="AA18" s="20"/>
      <c r="AB18" s="1109"/>
      <c r="AC18" s="20" t="s">
        <v>103</v>
      </c>
      <c r="AD18" s="276"/>
      <c r="AE18" s="1777"/>
      <c r="AF18" s="20" t="s">
        <v>103</v>
      </c>
      <c r="AG18" s="1781"/>
      <c r="AH18" s="274"/>
      <c r="AI18" s="20"/>
      <c r="AJ18" s="13"/>
      <c r="AK18" s="1782"/>
      <c r="AL18" s="1526"/>
    </row>
    <row r="19" spans="1:38" ht="15" customHeight="1">
      <c r="A19" s="35"/>
      <c r="B19" s="412" t="s">
        <v>1420</v>
      </c>
      <c r="C19" s="291"/>
      <c r="D19" s="367" t="s">
        <v>103</v>
      </c>
      <c r="E19" s="264"/>
      <c r="F19" s="367"/>
      <c r="G19" s="367"/>
      <c r="H19" s="367"/>
      <c r="I19" s="264"/>
      <c r="J19" s="367"/>
      <c r="K19" s="264"/>
      <c r="L19" s="367"/>
      <c r="M19" s="264"/>
      <c r="N19" s="367"/>
      <c r="O19" s="264"/>
      <c r="P19" s="367"/>
      <c r="Q19" s="264"/>
      <c r="R19" s="367"/>
      <c r="S19" s="264"/>
      <c r="T19" s="367"/>
      <c r="U19" s="264"/>
      <c r="V19" s="367"/>
      <c r="W19" s="264"/>
      <c r="X19" s="367"/>
      <c r="Y19" s="264"/>
      <c r="Z19" s="367"/>
      <c r="AA19" s="264"/>
      <c r="AB19" s="524"/>
      <c r="AC19" s="264" t="s">
        <v>103</v>
      </c>
      <c r="AD19" s="264"/>
      <c r="AE19" s="524"/>
      <c r="AF19" s="264" t="s">
        <v>103</v>
      </c>
      <c r="AG19" s="519"/>
      <c r="AH19" s="264"/>
      <c r="AI19" s="264"/>
      <c r="AJ19" s="364"/>
      <c r="AK19" s="374"/>
      <c r="AL19" s="1526"/>
    </row>
    <row r="20" spans="1:38" ht="15" customHeight="1">
      <c r="A20" s="35"/>
      <c r="B20" s="364" t="s">
        <v>355</v>
      </c>
      <c r="C20" s="291"/>
      <c r="D20" s="367">
        <v>154.80000000000001</v>
      </c>
      <c r="E20" s="1110"/>
      <c r="F20" s="367">
        <v>111.1</v>
      </c>
      <c r="G20" s="367"/>
      <c r="H20" s="367">
        <f t="shared" ref="H20:H28" si="0">$AC20-F20-D20</f>
        <v>142.69999999999999</v>
      </c>
      <c r="I20" s="1110"/>
      <c r="J20" s="367"/>
      <c r="K20" s="553"/>
      <c r="L20" s="367"/>
      <c r="M20" s="553"/>
      <c r="N20" s="367"/>
      <c r="O20" s="553"/>
      <c r="P20" s="367"/>
      <c r="Q20" s="553"/>
      <c r="R20" s="367"/>
      <c r="S20" s="553"/>
      <c r="T20" s="367"/>
      <c r="U20" s="553"/>
      <c r="V20" s="367"/>
      <c r="W20" s="553"/>
      <c r="X20" s="367"/>
      <c r="Y20" s="553"/>
      <c r="Z20" s="367"/>
      <c r="AA20" s="264"/>
      <c r="AB20" s="524"/>
      <c r="AC20" s="1192">
        <v>408.6</v>
      </c>
      <c r="AD20" s="287"/>
      <c r="AE20" s="1763"/>
      <c r="AF20" s="1192">
        <v>382.1</v>
      </c>
      <c r="AG20" s="519"/>
      <c r="AH20" s="264"/>
      <c r="AI20" s="264">
        <f t="shared" ref="AI20:AI28" si="1">_xlfn.SINGLE(ROUND(SUM(+AC20-AF20),1))</f>
        <v>26.5</v>
      </c>
      <c r="AJ20" s="364"/>
      <c r="AK20" s="283">
        <f>_xlfn.SINGLE(ROUND(IF(AF20=0,0,AI20/ABS(AF20)),3))</f>
        <v>6.9000000000000006E-2</v>
      </c>
      <c r="AL20" s="1526"/>
    </row>
    <row r="21" spans="1:38" ht="15" customHeight="1">
      <c r="A21" s="35"/>
      <c r="B21" s="364" t="s">
        <v>1421</v>
      </c>
      <c r="C21" s="291"/>
      <c r="D21" s="367">
        <v>1.7</v>
      </c>
      <c r="E21" s="1110"/>
      <c r="F21" s="367">
        <v>0</v>
      </c>
      <c r="G21" s="367"/>
      <c r="H21" s="367">
        <f t="shared" si="0"/>
        <v>9</v>
      </c>
      <c r="I21" s="1110"/>
      <c r="J21" s="367"/>
      <c r="K21" s="553"/>
      <c r="L21" s="367"/>
      <c r="M21" s="553"/>
      <c r="N21" s="367"/>
      <c r="O21" s="553"/>
      <c r="P21" s="367"/>
      <c r="Q21" s="553"/>
      <c r="R21" s="367"/>
      <c r="S21" s="553"/>
      <c r="T21" s="367"/>
      <c r="U21" s="553"/>
      <c r="V21" s="367"/>
      <c r="W21" s="553"/>
      <c r="X21" s="367"/>
      <c r="Y21" s="553"/>
      <c r="Z21" s="367"/>
      <c r="AA21" s="264"/>
      <c r="AB21" s="524"/>
      <c r="AC21" s="531">
        <v>10.7</v>
      </c>
      <c r="AD21" s="287"/>
      <c r="AE21" s="1763"/>
      <c r="AF21" s="531">
        <v>14</v>
      </c>
      <c r="AG21" s="519"/>
      <c r="AH21" s="264"/>
      <c r="AI21" s="264">
        <f t="shared" si="1"/>
        <v>-3.3</v>
      </c>
      <c r="AJ21" s="364"/>
      <c r="AK21" s="283">
        <f>_xlfn.SINGLE(ROUND(IF(AF21=0,0,AI21/ABS(AF21)),3))</f>
        <v>-0.23599999999999999</v>
      </c>
      <c r="AL21" s="1526"/>
    </row>
    <row r="22" spans="1:38" ht="15" customHeight="1">
      <c r="A22" s="35"/>
      <c r="B22" s="364" t="s">
        <v>357</v>
      </c>
      <c r="C22" s="291"/>
      <c r="D22" s="367">
        <v>52.9</v>
      </c>
      <c r="E22" s="1110"/>
      <c r="F22" s="367">
        <v>39.699999999999996</v>
      </c>
      <c r="G22" s="367"/>
      <c r="H22" s="367">
        <f t="shared" si="0"/>
        <v>48.400000000000013</v>
      </c>
      <c r="I22" s="1110"/>
      <c r="J22" s="367"/>
      <c r="K22" s="553"/>
      <c r="L22" s="367"/>
      <c r="M22" s="553"/>
      <c r="N22" s="367"/>
      <c r="O22" s="553"/>
      <c r="P22" s="367"/>
      <c r="Q22" s="553"/>
      <c r="R22" s="367"/>
      <c r="S22" s="553"/>
      <c r="T22" s="367"/>
      <c r="U22" s="553"/>
      <c r="V22" s="367"/>
      <c r="W22" s="553"/>
      <c r="X22" s="367"/>
      <c r="Y22" s="553"/>
      <c r="Z22" s="367"/>
      <c r="AA22" s="264"/>
      <c r="AB22" s="524"/>
      <c r="AC22" s="531">
        <v>141</v>
      </c>
      <c r="AD22" s="287"/>
      <c r="AE22" s="1763"/>
      <c r="AF22" s="531">
        <v>142.6</v>
      </c>
      <c r="AG22" s="519"/>
      <c r="AH22" s="264"/>
      <c r="AI22" s="264">
        <f t="shared" si="1"/>
        <v>-1.6</v>
      </c>
      <c r="AJ22" s="364"/>
      <c r="AK22" s="283">
        <f>_xlfn.SINGLE(ROUND(IF(AF22=0,0,AI22/ABS(AF22)),3))</f>
        <v>-1.0999999999999999E-2</v>
      </c>
      <c r="AL22" s="1526"/>
    </row>
    <row r="23" spans="1:38" ht="15" customHeight="1">
      <c r="A23" s="35"/>
      <c r="B23" s="284" t="s">
        <v>436</v>
      </c>
      <c r="C23" s="291"/>
      <c r="D23" s="367">
        <v>4.4000000000000004</v>
      </c>
      <c r="E23" s="1110"/>
      <c r="F23" s="367">
        <v>1.5999999999999996</v>
      </c>
      <c r="G23" s="367"/>
      <c r="H23" s="367">
        <f t="shared" si="0"/>
        <v>53.1</v>
      </c>
      <c r="I23" s="1110"/>
      <c r="J23" s="367"/>
      <c r="K23" s="553"/>
      <c r="L23" s="367"/>
      <c r="M23" s="553"/>
      <c r="N23" s="367"/>
      <c r="O23" s="553"/>
      <c r="P23" s="367"/>
      <c r="Q23" s="553"/>
      <c r="R23" s="367"/>
      <c r="S23" s="553"/>
      <c r="T23" s="367"/>
      <c r="U23" s="553"/>
      <c r="V23" s="367"/>
      <c r="W23" s="553"/>
      <c r="X23" s="367"/>
      <c r="Y23" s="553"/>
      <c r="Z23" s="367"/>
      <c r="AA23" s="264"/>
      <c r="AB23" s="524"/>
      <c r="AC23" s="531">
        <v>59.1</v>
      </c>
      <c r="AD23" s="287"/>
      <c r="AE23" s="1763"/>
      <c r="AF23" s="531">
        <v>36.299999999999997</v>
      </c>
      <c r="AG23" s="519"/>
      <c r="AH23" s="264"/>
      <c r="AI23" s="264">
        <f t="shared" si="1"/>
        <v>22.8</v>
      </c>
      <c r="AJ23" s="364"/>
      <c r="AK23" s="283">
        <f>_xlfn.SINGLE(ROUND(IF(AF23=0,0,AI23/ABS(AF23)),3))</f>
        <v>0.628</v>
      </c>
      <c r="AL23" s="1526"/>
    </row>
    <row r="24" spans="1:38" ht="15" customHeight="1">
      <c r="A24" s="35"/>
      <c r="B24" s="421" t="s">
        <v>359</v>
      </c>
      <c r="C24" s="291"/>
      <c r="D24" s="367">
        <v>7.8</v>
      </c>
      <c r="E24" s="1110"/>
      <c r="F24" s="367">
        <v>8.6999999999999993</v>
      </c>
      <c r="G24" s="367"/>
      <c r="H24" s="367">
        <f t="shared" si="0"/>
        <v>9.5</v>
      </c>
      <c r="I24" s="1110"/>
      <c r="J24" s="367"/>
      <c r="K24" s="553"/>
      <c r="L24" s="367"/>
      <c r="M24" s="553"/>
      <c r="N24" s="367"/>
      <c r="O24" s="553"/>
      <c r="P24" s="367"/>
      <c r="Q24" s="553"/>
      <c r="R24" s="367"/>
      <c r="S24" s="553"/>
      <c r="T24" s="367"/>
      <c r="U24" s="553"/>
      <c r="V24" s="367"/>
      <c r="W24" s="553"/>
      <c r="X24" s="367"/>
      <c r="Y24" s="553"/>
      <c r="Z24" s="367"/>
      <c r="AA24" s="264"/>
      <c r="AB24" s="524"/>
      <c r="AC24" s="531">
        <v>26</v>
      </c>
      <c r="AD24" s="287"/>
      <c r="AE24" s="1763"/>
      <c r="AF24" s="531">
        <v>25.6</v>
      </c>
      <c r="AG24" s="519"/>
      <c r="AH24" s="264"/>
      <c r="AI24" s="264">
        <f t="shared" si="1"/>
        <v>0.4</v>
      </c>
      <c r="AJ24" s="364"/>
      <c r="AK24" s="283">
        <f>_xlfn.SINGLE(ROUND(IF(AF24=0,0,AI24/ABS(AF24)),3))</f>
        <v>1.6E-2</v>
      </c>
      <c r="AL24" s="1526"/>
    </row>
    <row r="25" spans="1:38" ht="15" customHeight="1">
      <c r="A25" s="35"/>
      <c r="B25" s="364" t="s">
        <v>1399</v>
      </c>
      <c r="C25" s="291"/>
      <c r="D25" s="367">
        <v>0</v>
      </c>
      <c r="E25" s="1110"/>
      <c r="F25" s="367">
        <v>0</v>
      </c>
      <c r="G25" s="367"/>
      <c r="H25" s="367">
        <f t="shared" si="0"/>
        <v>0</v>
      </c>
      <c r="I25" s="1110"/>
      <c r="J25" s="367"/>
      <c r="K25" s="553"/>
      <c r="L25" s="367"/>
      <c r="M25" s="553"/>
      <c r="N25" s="367"/>
      <c r="O25" s="553"/>
      <c r="P25" s="367"/>
      <c r="Q25" s="553"/>
      <c r="R25" s="367"/>
      <c r="S25" s="553"/>
      <c r="T25" s="367"/>
      <c r="U25" s="553"/>
      <c r="V25" s="367"/>
      <c r="W25" s="553"/>
      <c r="X25" s="367"/>
      <c r="Y25" s="553"/>
      <c r="Z25" s="367"/>
      <c r="AA25" s="264"/>
      <c r="AB25" s="524"/>
      <c r="AC25" s="531">
        <v>0</v>
      </c>
      <c r="AD25" s="287"/>
      <c r="AE25" s="1763"/>
      <c r="AF25" s="531">
        <v>-0.1</v>
      </c>
      <c r="AG25" s="519"/>
      <c r="AH25" s="264"/>
      <c r="AI25" s="264">
        <f t="shared" si="1"/>
        <v>0.1</v>
      </c>
      <c r="AJ25" s="364"/>
      <c r="AK25" s="283">
        <f>ROUND(IF(AF25=0,1,AI25/ABS(AF25)),3)</f>
        <v>1</v>
      </c>
      <c r="AL25" s="1526"/>
    </row>
    <row r="26" spans="1:38" ht="15" customHeight="1">
      <c r="A26" s="35"/>
      <c r="B26" s="364" t="s">
        <v>1422</v>
      </c>
      <c r="C26" s="291"/>
      <c r="D26" s="367">
        <v>0</v>
      </c>
      <c r="E26" s="1110"/>
      <c r="F26" s="367">
        <v>0</v>
      </c>
      <c r="G26" s="367"/>
      <c r="H26" s="367">
        <f t="shared" si="0"/>
        <v>0</v>
      </c>
      <c r="I26" s="1110"/>
      <c r="J26" s="367"/>
      <c r="K26" s="553"/>
      <c r="L26" s="367"/>
      <c r="M26" s="553"/>
      <c r="N26" s="367"/>
      <c r="O26" s="553"/>
      <c r="P26" s="367"/>
      <c r="Q26" s="553"/>
      <c r="R26" s="367"/>
      <c r="S26" s="553"/>
      <c r="T26" s="367"/>
      <c r="U26" s="553"/>
      <c r="V26" s="367"/>
      <c r="W26" s="553"/>
      <c r="X26" s="367"/>
      <c r="Y26" s="553"/>
      <c r="Z26" s="367"/>
      <c r="AA26" s="264"/>
      <c r="AB26" s="524"/>
      <c r="AC26" s="531">
        <v>0</v>
      </c>
      <c r="AD26" s="287"/>
      <c r="AE26" s="1763"/>
      <c r="AF26" s="531">
        <v>0</v>
      </c>
      <c r="AG26" s="519"/>
      <c r="AH26" s="264"/>
      <c r="AI26" s="264">
        <f t="shared" si="1"/>
        <v>0</v>
      </c>
      <c r="AJ26" s="364"/>
      <c r="AK26" s="283">
        <f>_xlfn.SINGLE(ROUND(IF(AF26=0,0,AI26/ABS(AF26)),3))</f>
        <v>0</v>
      </c>
      <c r="AL26" s="1526"/>
    </row>
    <row r="27" spans="1:38" ht="15" customHeight="1">
      <c r="A27" s="35"/>
      <c r="B27" s="421" t="s">
        <v>362</v>
      </c>
      <c r="C27" s="291"/>
      <c r="D27" s="367">
        <v>0</v>
      </c>
      <c r="E27" s="1110"/>
      <c r="F27" s="367">
        <v>0.1</v>
      </c>
      <c r="G27" s="367"/>
      <c r="H27" s="367">
        <f t="shared" si="0"/>
        <v>0</v>
      </c>
      <c r="I27" s="1110"/>
      <c r="J27" s="367"/>
      <c r="K27" s="553"/>
      <c r="L27" s="367"/>
      <c r="M27" s="553"/>
      <c r="N27" s="367"/>
      <c r="O27" s="553"/>
      <c r="P27" s="367"/>
      <c r="Q27" s="553"/>
      <c r="R27" s="367"/>
      <c r="S27" s="553"/>
      <c r="T27" s="367"/>
      <c r="U27" s="553"/>
      <c r="V27" s="367"/>
      <c r="W27" s="553"/>
      <c r="X27" s="367"/>
      <c r="Y27" s="553"/>
      <c r="Z27" s="367"/>
      <c r="AA27" s="264"/>
      <c r="AB27" s="524"/>
      <c r="AC27" s="531">
        <v>0.1</v>
      </c>
      <c r="AD27" s="287"/>
      <c r="AE27" s="1763"/>
      <c r="AF27" s="531">
        <v>0.2</v>
      </c>
      <c r="AG27" s="519"/>
      <c r="AH27" s="264"/>
      <c r="AI27" s="264">
        <f t="shared" si="1"/>
        <v>-0.1</v>
      </c>
      <c r="AJ27" s="364"/>
      <c r="AK27" s="607">
        <f>ROUND(IF(AF27=0,1,AI27/ABS(AF27)),3)</f>
        <v>-0.5</v>
      </c>
      <c r="AL27" s="1526"/>
    </row>
    <row r="28" spans="1:38" ht="15" customHeight="1">
      <c r="A28" s="35"/>
      <c r="B28" s="284" t="s">
        <v>437</v>
      </c>
      <c r="C28" s="291"/>
      <c r="D28" s="367">
        <v>0.3</v>
      </c>
      <c r="E28" s="1110"/>
      <c r="F28" s="367">
        <v>0</v>
      </c>
      <c r="G28" s="367"/>
      <c r="H28" s="367">
        <f t="shared" si="0"/>
        <v>4.6000000000000005</v>
      </c>
      <c r="I28" s="1110"/>
      <c r="J28" s="367"/>
      <c r="K28" s="553"/>
      <c r="L28" s="367"/>
      <c r="M28" s="553"/>
      <c r="N28" s="367"/>
      <c r="O28" s="553"/>
      <c r="P28" s="367"/>
      <c r="Q28" s="553"/>
      <c r="R28" s="367"/>
      <c r="S28" s="553"/>
      <c r="T28" s="367"/>
      <c r="U28" s="553"/>
      <c r="V28" s="367"/>
      <c r="W28" s="553"/>
      <c r="X28" s="367"/>
      <c r="Y28" s="553"/>
      <c r="Z28" s="367"/>
      <c r="AA28" s="264"/>
      <c r="AB28" s="524"/>
      <c r="AC28" s="531">
        <v>4.9000000000000004</v>
      </c>
      <c r="AD28" s="287"/>
      <c r="AE28" s="1763"/>
      <c r="AF28" s="531">
        <v>5</v>
      </c>
      <c r="AG28" s="519"/>
      <c r="AH28" s="264"/>
      <c r="AI28" s="264">
        <f t="shared" si="1"/>
        <v>-0.1</v>
      </c>
      <c r="AJ28" s="364"/>
      <c r="AK28" s="607">
        <f>_xlfn.SINGLE(ROUND(IF(AF28=0,1,AI28/ABS(AF28)),3))</f>
        <v>-0.02</v>
      </c>
      <c r="AL28" s="1526"/>
    </row>
    <row r="29" spans="1:38" s="321" customFormat="1" ht="15" customHeight="1">
      <c r="A29" s="417"/>
      <c r="B29" s="3" t="s">
        <v>480</v>
      </c>
      <c r="C29" s="3"/>
      <c r="D29" s="673">
        <f>_xlfn.SINGLE(ROUND(SUM(D20:D28),1))</f>
        <v>221.9</v>
      </c>
      <c r="E29" s="13"/>
      <c r="F29" s="673">
        <f>_xlfn.SINGLE(ROUND(SUM(F20:F28),1))</f>
        <v>161.19999999999999</v>
      </c>
      <c r="G29" s="13"/>
      <c r="H29" s="673">
        <f>_xlfn.SINGLE(ROUND(SUM(H20:H28),1))</f>
        <v>267.3</v>
      </c>
      <c r="I29" s="13"/>
      <c r="J29" s="673">
        <f>_xlfn.SINGLE(ROUND(SUM(J20:J28),1))</f>
        <v>0</v>
      </c>
      <c r="K29" s="13"/>
      <c r="L29" s="673">
        <f>_xlfn.SINGLE(ROUND(SUM(L20:L28),1))</f>
        <v>0</v>
      </c>
      <c r="M29" s="13"/>
      <c r="N29" s="673">
        <f>_xlfn.SINGLE(ROUND(SUM(N20:N28),1))</f>
        <v>0</v>
      </c>
      <c r="O29" s="13"/>
      <c r="P29" s="673">
        <f>_xlfn.SINGLE(ROUND(SUM(P20:P28),1))</f>
        <v>0</v>
      </c>
      <c r="Q29" s="13"/>
      <c r="R29" s="673">
        <f>_xlfn.SINGLE(ROUND(SUM(R20:R28),1))</f>
        <v>0</v>
      </c>
      <c r="S29" s="13"/>
      <c r="T29" s="673">
        <f>_xlfn.SINGLE(ROUND(SUM(T20:T28),1))</f>
        <v>0</v>
      </c>
      <c r="U29" s="13"/>
      <c r="V29" s="673">
        <f>_xlfn.SINGLE(ROUND(SUM(V20:V28),1))</f>
        <v>0</v>
      </c>
      <c r="W29" s="13"/>
      <c r="X29" s="673">
        <f>_xlfn.SINGLE(ROUND(SUM(X20:X28),1))</f>
        <v>0</v>
      </c>
      <c r="Y29" s="13"/>
      <c r="Z29" s="673">
        <f>_xlfn.SINGLE(ROUND(SUM(Z20:Z28),1))</f>
        <v>0</v>
      </c>
      <c r="AA29" s="13"/>
      <c r="AB29" s="669"/>
      <c r="AC29" s="673">
        <f>ROUND(SUM(AC20:AC28),1)</f>
        <v>650.4</v>
      </c>
      <c r="AD29" s="13"/>
      <c r="AE29" s="669"/>
      <c r="AF29" s="673">
        <f>ROUND(SUM(AF20:AF28),1)</f>
        <v>605.70000000000005</v>
      </c>
      <c r="AG29" s="75"/>
      <c r="AH29" s="13"/>
      <c r="AI29" s="673">
        <f>_xlfn.SINGLE(ROUND(SUM(AI20:AI28),1))</f>
        <v>44.7</v>
      </c>
      <c r="AJ29" s="57"/>
      <c r="AK29" s="1783">
        <f>_xlfn.SINGLE(ROUND(IF(AF29=0,0,AI29/ABS(AF29)),3))</f>
        <v>7.3999999999999996E-2</v>
      </c>
      <c r="AL29" s="1526"/>
    </row>
    <row r="30" spans="1:38" ht="15" customHeight="1">
      <c r="A30" s="35"/>
      <c r="B30" s="412" t="s">
        <v>524</v>
      </c>
      <c r="C30" s="291"/>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524"/>
      <c r="AC30" s="264"/>
      <c r="AD30" s="264"/>
      <c r="AE30" s="524"/>
      <c r="AF30" s="264"/>
      <c r="AG30" s="519"/>
      <c r="AH30" s="264"/>
      <c r="AI30" s="264"/>
      <c r="AJ30" s="364"/>
      <c r="AK30" s="364"/>
      <c r="AL30" s="1526"/>
    </row>
    <row r="31" spans="1:38" ht="15" customHeight="1">
      <c r="A31" s="35"/>
      <c r="B31" s="421" t="s">
        <v>367</v>
      </c>
      <c r="C31" s="291"/>
      <c r="D31" s="367">
        <v>299.2</v>
      </c>
      <c r="E31" s="1110"/>
      <c r="F31" s="367">
        <v>96.800000000000011</v>
      </c>
      <c r="G31" s="367"/>
      <c r="H31" s="367">
        <f>$AC31-F31-D31</f>
        <v>457.09999999999997</v>
      </c>
      <c r="I31" s="264"/>
      <c r="J31" s="367"/>
      <c r="K31" s="553"/>
      <c r="L31" s="367"/>
      <c r="M31" s="553"/>
      <c r="N31" s="367"/>
      <c r="O31" s="553"/>
      <c r="P31" s="367"/>
      <c r="Q31" s="553"/>
      <c r="R31" s="367"/>
      <c r="S31" s="553"/>
      <c r="T31" s="367"/>
      <c r="U31" s="553"/>
      <c r="V31" s="367"/>
      <c r="W31" s="553"/>
      <c r="X31" s="367"/>
      <c r="Y31" s="553"/>
      <c r="Z31" s="367"/>
      <c r="AA31" s="264"/>
      <c r="AB31" s="524"/>
      <c r="AC31" s="531">
        <v>853.1</v>
      </c>
      <c r="AD31" s="287"/>
      <c r="AE31" s="1763"/>
      <c r="AF31" s="531">
        <v>586.9</v>
      </c>
      <c r="AG31" s="519"/>
      <c r="AH31" s="264"/>
      <c r="AI31" s="264">
        <f>_xlfn.SINGLE(ROUND(SUM(+AC31-AF31),1))</f>
        <v>266.2</v>
      </c>
      <c r="AJ31" s="364"/>
      <c r="AK31" s="1784">
        <f>_xlfn.SINGLE(ROUND(IF(AF31=0,0,AI31/ABS(AF31)),3))</f>
        <v>0.45400000000000001</v>
      </c>
      <c r="AL31" s="1526"/>
    </row>
    <row r="32" spans="1:38" ht="15" customHeight="1">
      <c r="A32" s="35"/>
      <c r="B32" s="421" t="s">
        <v>368</v>
      </c>
      <c r="C32" s="291"/>
      <c r="D32" s="367">
        <v>15.4</v>
      </c>
      <c r="E32" s="1110"/>
      <c r="F32" s="367">
        <v>1.0999999999999996</v>
      </c>
      <c r="G32" s="367"/>
      <c r="H32" s="367">
        <f t="shared" ref="H32:H35" si="2">$AC32-F32-D32</f>
        <v>21.5</v>
      </c>
      <c r="I32" s="264"/>
      <c r="J32" s="367"/>
      <c r="K32" s="553"/>
      <c r="L32" s="367"/>
      <c r="M32" s="553"/>
      <c r="N32" s="367"/>
      <c r="O32" s="553"/>
      <c r="P32" s="367"/>
      <c r="Q32" s="553"/>
      <c r="R32" s="367"/>
      <c r="S32" s="553"/>
      <c r="T32" s="367"/>
      <c r="U32" s="553"/>
      <c r="V32" s="367"/>
      <c r="W32" s="553"/>
      <c r="X32" s="367"/>
      <c r="Y32" s="553"/>
      <c r="Z32" s="367"/>
      <c r="AA32" s="264"/>
      <c r="AB32" s="524"/>
      <c r="AC32" s="531">
        <v>38</v>
      </c>
      <c r="AD32" s="287"/>
      <c r="AE32" s="1763"/>
      <c r="AF32" s="531">
        <v>42</v>
      </c>
      <c r="AG32" s="519"/>
      <c r="AH32" s="264"/>
      <c r="AI32" s="264">
        <f>_xlfn.SINGLE(ROUND(SUM(+AC32-AF32),1))</f>
        <v>-4</v>
      </c>
      <c r="AJ32" s="364"/>
      <c r="AK32" s="1784">
        <f>_xlfn.SINGLE(ROUND(IF(AF32=0,0,AI32/ABS(AF32)),3))</f>
        <v>-9.5000000000000001E-2</v>
      </c>
      <c r="AL32" s="1526"/>
    </row>
    <row r="33" spans="1:38" s="1118" customFormat="1" ht="15" customHeight="1">
      <c r="A33" s="1115"/>
      <c r="B33" s="1205" t="s">
        <v>369</v>
      </c>
      <c r="C33" s="372"/>
      <c r="D33" s="367">
        <v>3.9</v>
      </c>
      <c r="E33" s="1210"/>
      <c r="F33" s="367">
        <v>0.50000000000000044</v>
      </c>
      <c r="G33" s="1128"/>
      <c r="H33" s="367">
        <f t="shared" si="2"/>
        <v>52.300000000000004</v>
      </c>
      <c r="I33" s="610"/>
      <c r="J33" s="367"/>
      <c r="K33" s="1116"/>
      <c r="L33" s="367"/>
      <c r="M33" s="1116"/>
      <c r="N33" s="367"/>
      <c r="O33" s="1116"/>
      <c r="P33" s="367"/>
      <c r="Q33" s="1116"/>
      <c r="R33" s="367"/>
      <c r="S33" s="1116"/>
      <c r="T33" s="367"/>
      <c r="U33" s="1116"/>
      <c r="V33" s="367"/>
      <c r="W33" s="1116"/>
      <c r="X33" s="367"/>
      <c r="Y33" s="1116"/>
      <c r="Z33" s="367"/>
      <c r="AA33" s="610"/>
      <c r="AB33" s="855"/>
      <c r="AC33" s="531">
        <v>56.7</v>
      </c>
      <c r="AD33" s="1195"/>
      <c r="AE33" s="1946"/>
      <c r="AF33" s="531">
        <v>58.2</v>
      </c>
      <c r="AG33" s="1211"/>
      <c r="AH33" s="1193"/>
      <c r="AI33" s="1193">
        <f>_xlfn.SINGLE(ROUND(SUM(+AC33-AF33),1))</f>
        <v>-1.5</v>
      </c>
      <c r="AJ33" s="1205"/>
      <c r="AK33" s="1785">
        <f>_xlfn.SINGLE(ROUND(IF(AF33=0,0,AI33/ABS(AF33)),3))</f>
        <v>-2.5999999999999999E-2</v>
      </c>
      <c r="AL33" s="1526"/>
    </row>
    <row r="34" spans="1:38" ht="15" customHeight="1">
      <c r="A34" s="35"/>
      <c r="B34" s="421" t="s">
        <v>370</v>
      </c>
      <c r="C34" s="291"/>
      <c r="D34" s="367">
        <v>-0.8</v>
      </c>
      <c r="E34" s="1110"/>
      <c r="F34" s="367">
        <v>0</v>
      </c>
      <c r="G34" s="367"/>
      <c r="H34" s="367">
        <f t="shared" si="2"/>
        <v>0</v>
      </c>
      <c r="I34" s="264"/>
      <c r="J34" s="367"/>
      <c r="K34" s="553"/>
      <c r="L34" s="367"/>
      <c r="M34" s="553"/>
      <c r="N34" s="367"/>
      <c r="O34" s="553"/>
      <c r="P34" s="367"/>
      <c r="Q34" s="553"/>
      <c r="R34" s="367"/>
      <c r="S34" s="553"/>
      <c r="T34" s="367"/>
      <c r="U34" s="553"/>
      <c r="V34" s="367"/>
      <c r="W34" s="553"/>
      <c r="X34" s="367"/>
      <c r="Y34" s="553"/>
      <c r="Z34" s="367"/>
      <c r="AA34" s="264"/>
      <c r="AB34" s="524"/>
      <c r="AC34" s="531">
        <v>-0.8</v>
      </c>
      <c r="AD34" s="287"/>
      <c r="AE34" s="1763"/>
      <c r="AF34" s="531">
        <v>-0.9</v>
      </c>
      <c r="AG34" s="519"/>
      <c r="AH34" s="264"/>
      <c r="AI34" s="264">
        <f>_xlfn.SINGLE(ROUND(SUM(+AC34-AF34),1))</f>
        <v>0.1</v>
      </c>
      <c r="AJ34" s="364"/>
      <c r="AK34" s="607">
        <f>_xlfn.SINGLE(ROUND(IF(AF34=0,1,AI34/ABS(AF34)),3))</f>
        <v>0.111</v>
      </c>
      <c r="AL34" s="1526"/>
    </row>
    <row r="35" spans="1:38" ht="15" customHeight="1">
      <c r="A35" s="35"/>
      <c r="B35" s="421" t="s">
        <v>372</v>
      </c>
      <c r="C35" s="291"/>
      <c r="D35" s="367">
        <v>32.700000000000003</v>
      </c>
      <c r="E35" s="1110"/>
      <c r="F35" s="367">
        <v>34.399999999999991</v>
      </c>
      <c r="G35" s="367"/>
      <c r="H35" s="367">
        <f t="shared" si="2"/>
        <v>39.100000000000009</v>
      </c>
      <c r="I35" s="264"/>
      <c r="J35" s="367"/>
      <c r="K35" s="553"/>
      <c r="L35" s="367"/>
      <c r="M35" s="553"/>
      <c r="N35" s="367"/>
      <c r="O35" s="553"/>
      <c r="P35" s="367"/>
      <c r="Q35" s="553"/>
      <c r="R35" s="367"/>
      <c r="S35" s="553"/>
      <c r="T35" s="367"/>
      <c r="U35" s="553"/>
      <c r="V35" s="367"/>
      <c r="W35" s="553"/>
      <c r="X35" s="367"/>
      <c r="Y35" s="553"/>
      <c r="Z35" s="367"/>
      <c r="AA35" s="264"/>
      <c r="AB35" s="524"/>
      <c r="AC35" s="531">
        <v>106.2</v>
      </c>
      <c r="AD35" s="287"/>
      <c r="AE35" s="1763"/>
      <c r="AF35" s="531">
        <v>112.4</v>
      </c>
      <c r="AG35" s="519"/>
      <c r="AH35" s="264"/>
      <c r="AI35" s="264">
        <f>_xlfn.SINGLE(ROUND(SUM(+AC35-AF35),1))</f>
        <v>-6.2</v>
      </c>
      <c r="AJ35" s="364"/>
      <c r="AK35" s="1784">
        <f>_xlfn.SINGLE(ROUND(IF(AF35=0,0,AI35/ABS(AF35)),3))</f>
        <v>-5.5E-2</v>
      </c>
      <c r="AL35" s="1526"/>
    </row>
    <row r="36" spans="1:38" s="321" customFormat="1" ht="15" customHeight="1">
      <c r="A36" s="417"/>
      <c r="B36" s="3" t="s">
        <v>525</v>
      </c>
      <c r="C36" s="3"/>
      <c r="D36" s="673">
        <f>_xlfn.SINGLE(ROUND(SUM(D31:D35),1))</f>
        <v>350.4</v>
      </c>
      <c r="E36" s="13"/>
      <c r="F36" s="673">
        <f>_xlfn.SINGLE(ROUND(SUM(F31:F35),1))</f>
        <v>132.80000000000001</v>
      </c>
      <c r="G36" s="13"/>
      <c r="H36" s="673">
        <f>_xlfn.SINGLE(ROUND(SUM(H31:H35),1))</f>
        <v>570</v>
      </c>
      <c r="I36" s="13"/>
      <c r="J36" s="673">
        <f>_xlfn.SINGLE(ROUND(SUM(J31:J35),1))</f>
        <v>0</v>
      </c>
      <c r="K36" s="13"/>
      <c r="L36" s="673">
        <f>_xlfn.SINGLE(ROUND(SUM(L31:L35),1))</f>
        <v>0</v>
      </c>
      <c r="M36" s="13"/>
      <c r="N36" s="673">
        <f>_xlfn.SINGLE(ROUND(SUM(N31:N35),1))</f>
        <v>0</v>
      </c>
      <c r="O36" s="13"/>
      <c r="P36" s="673">
        <f>_xlfn.SINGLE(ROUND(SUM(P31:P35),1))</f>
        <v>0</v>
      </c>
      <c r="Q36" s="13"/>
      <c r="R36" s="673">
        <f>_xlfn.SINGLE(ROUND(SUM(R31:R35),1))</f>
        <v>0</v>
      </c>
      <c r="S36" s="13"/>
      <c r="T36" s="673">
        <f>_xlfn.SINGLE(ROUND(SUM(T31:T35),1))</f>
        <v>0</v>
      </c>
      <c r="U36" s="13"/>
      <c r="V36" s="673">
        <f>_xlfn.SINGLE(ROUND(SUM(V31:V35),1))</f>
        <v>0</v>
      </c>
      <c r="W36" s="13"/>
      <c r="X36" s="673">
        <f>_xlfn.SINGLE(ROUND(SUM(X31:X35),1))</f>
        <v>0</v>
      </c>
      <c r="Y36" s="13"/>
      <c r="Z36" s="673">
        <f>_xlfn.SINGLE(ROUND(SUM(Z31:Z35),1))</f>
        <v>0</v>
      </c>
      <c r="AA36" s="13"/>
      <c r="AB36" s="669"/>
      <c r="AC36" s="673">
        <f>ROUND(SUM(AC31:AC35),1)</f>
        <v>1053.2</v>
      </c>
      <c r="AD36" s="13"/>
      <c r="AE36" s="669"/>
      <c r="AF36" s="673">
        <f>ROUND(SUM(AF31:AF35),1)</f>
        <v>798.6</v>
      </c>
      <c r="AG36" s="75"/>
      <c r="AH36" s="13"/>
      <c r="AI36" s="673">
        <f>_xlfn.SINGLE(ROUND(SUM(AI31:AI35),1))</f>
        <v>254.6</v>
      </c>
      <c r="AJ36" s="57"/>
      <c r="AK36" s="1014">
        <f>_xlfn.SINGLE(ROUND(IF(AF36=0,0,AI36/ABS(AF36)),3))</f>
        <v>0.31900000000000001</v>
      </c>
      <c r="AL36" s="1526"/>
    </row>
    <row r="37" spans="1:38" ht="15" customHeight="1">
      <c r="A37" s="35"/>
      <c r="B37" s="3"/>
      <c r="C37" s="291"/>
      <c r="D37" s="264"/>
      <c r="E37" s="264"/>
      <c r="F37" s="264"/>
      <c r="G37" s="264"/>
      <c r="H37" s="264"/>
      <c r="I37" s="264"/>
      <c r="J37" s="264"/>
      <c r="K37" s="264"/>
      <c r="L37" s="264"/>
      <c r="M37" s="264"/>
      <c r="N37" s="264"/>
      <c r="O37" s="264"/>
      <c r="P37" s="264"/>
      <c r="Q37" s="264"/>
      <c r="R37" s="264"/>
      <c r="S37" s="264"/>
      <c r="T37" s="264"/>
      <c r="U37" s="264"/>
      <c r="V37" s="264"/>
      <c r="W37" s="264"/>
      <c r="X37" s="367"/>
      <c r="Y37" s="264"/>
      <c r="Z37" s="264"/>
      <c r="AA37" s="264"/>
      <c r="AB37" s="524"/>
      <c r="AC37" s="264"/>
      <c r="AD37" s="264"/>
      <c r="AE37" s="524"/>
      <c r="AF37" s="264"/>
      <c r="AG37" s="519"/>
      <c r="AH37" s="264"/>
      <c r="AI37" s="264"/>
      <c r="AJ37" s="364"/>
      <c r="AK37" s="364"/>
      <c r="AL37" s="1526"/>
    </row>
    <row r="38" spans="1:38" ht="15" customHeight="1">
      <c r="A38" s="35"/>
      <c r="B38" s="83" t="s">
        <v>438</v>
      </c>
      <c r="C38" s="291"/>
      <c r="D38" s="1042">
        <f>_xlfn.SINGLE(ROUND(SUM(D17+D29+D36),1))</f>
        <v>572.29999999999995</v>
      </c>
      <c r="E38" s="264"/>
      <c r="F38" s="1042">
        <f>_xlfn.SINGLE(ROUND(SUM(F17+F29+F36),1))</f>
        <v>294</v>
      </c>
      <c r="G38" s="264"/>
      <c r="H38" s="1042">
        <f>_xlfn.SINGLE(ROUND(SUM(H17+H29+H36),1))</f>
        <v>837.3</v>
      </c>
      <c r="I38" s="264"/>
      <c r="J38" s="1042">
        <f>_xlfn.SINGLE(ROUND(SUM(J17+J29+J36),1))</f>
        <v>0</v>
      </c>
      <c r="K38" s="264"/>
      <c r="L38" s="1042">
        <f>_xlfn.SINGLE(ROUND(SUM(L17+L29+L36),1))</f>
        <v>0</v>
      </c>
      <c r="M38" s="264"/>
      <c r="N38" s="1042">
        <f>_xlfn.SINGLE(ROUND(SUM(N17+N29+N36),1))</f>
        <v>0</v>
      </c>
      <c r="O38" s="264"/>
      <c r="P38" s="1042">
        <f>_xlfn.SINGLE(ROUND(SUM(P17+P29+P36),1))</f>
        <v>0</v>
      </c>
      <c r="Q38" s="264"/>
      <c r="R38" s="1042">
        <f>_xlfn.SINGLE(ROUND(SUM(R17+R29+R36),1))</f>
        <v>0</v>
      </c>
      <c r="S38" s="609"/>
      <c r="T38" s="1042">
        <f>_xlfn.SINGLE(ROUND(SUM(T17+T29+T36),1))</f>
        <v>0</v>
      </c>
      <c r="U38" s="264"/>
      <c r="V38" s="1042">
        <f>_xlfn.SINGLE(ROUND(SUM(V17+V29+V36),1))</f>
        <v>0</v>
      </c>
      <c r="W38" s="264"/>
      <c r="X38" s="1042">
        <f>_xlfn.SINGLE(ROUND(SUM(X17+X29+X36),1))</f>
        <v>0</v>
      </c>
      <c r="Y38" s="264"/>
      <c r="Z38" s="1042">
        <f>_xlfn.SINGLE(ROUND(SUM(Z17+Z29+Z36),1))</f>
        <v>0</v>
      </c>
      <c r="AA38" s="264"/>
      <c r="AB38" s="523"/>
      <c r="AC38" s="1042">
        <f>ROUND(SUM(AC17+AC29+AC36),1)</f>
        <v>1703.6</v>
      </c>
      <c r="AD38" s="264"/>
      <c r="AE38" s="523"/>
      <c r="AF38" s="1042">
        <f>ROUND(SUM(AF17+AF29+AF36),1)</f>
        <v>1404.3</v>
      </c>
      <c r="AG38" s="1034"/>
      <c r="AH38" s="264"/>
      <c r="AI38" s="1042">
        <f>_xlfn.SINGLE(ROUND(SUM(AI17+AI29+AI36),1))</f>
        <v>299.3</v>
      </c>
      <c r="AJ38" s="264"/>
      <c r="AK38" s="1043">
        <f>_xlfn.SINGLE(ROUND(IF(AF38=0,0,AI38/ABS(AF38)),3))</f>
        <v>0.21299999999999999</v>
      </c>
      <c r="AL38" s="1526"/>
    </row>
    <row r="39" spans="1:38" ht="15" customHeight="1">
      <c r="A39" s="35"/>
      <c r="B39" s="291"/>
      <c r="C39" s="291"/>
      <c r="D39" s="287"/>
      <c r="E39" s="264"/>
      <c r="F39" s="287"/>
      <c r="G39" s="264"/>
      <c r="H39" s="264"/>
      <c r="I39" s="264"/>
      <c r="J39" s="287"/>
      <c r="K39" s="264"/>
      <c r="L39" s="287"/>
      <c r="M39" s="264"/>
      <c r="N39" s="287"/>
      <c r="O39" s="264"/>
      <c r="P39" s="287"/>
      <c r="Q39" s="264"/>
      <c r="R39" s="287"/>
      <c r="S39" s="264"/>
      <c r="T39" s="287"/>
      <c r="U39" s="264"/>
      <c r="V39" s="287"/>
      <c r="W39" s="264"/>
      <c r="X39" s="367"/>
      <c r="Y39" s="264"/>
      <c r="Z39" s="287"/>
      <c r="AA39" s="264"/>
      <c r="AB39" s="523"/>
      <c r="AC39" s="288"/>
      <c r="AD39" s="367"/>
      <c r="AE39" s="524"/>
      <c r="AF39" s="288"/>
      <c r="AG39" s="1034"/>
      <c r="AH39" s="264"/>
      <c r="AI39" s="264"/>
      <c r="AJ39" s="264"/>
      <c r="AK39" s="283"/>
      <c r="AL39" s="1526"/>
    </row>
    <row r="40" spans="1:38" ht="15" customHeight="1">
      <c r="A40" s="35"/>
      <c r="B40" s="1216" t="s">
        <v>383</v>
      </c>
      <c r="C40" s="291"/>
      <c r="D40" s="287"/>
      <c r="E40" s="264"/>
      <c r="F40" s="287"/>
      <c r="G40" s="264"/>
      <c r="H40" s="264"/>
      <c r="I40" s="264"/>
      <c r="J40" s="287"/>
      <c r="K40" s="264"/>
      <c r="L40" s="287"/>
      <c r="M40" s="264"/>
      <c r="N40" s="287"/>
      <c r="O40" s="264"/>
      <c r="P40" s="287"/>
      <c r="Q40" s="264"/>
      <c r="R40" s="287"/>
      <c r="S40" s="264"/>
      <c r="T40" s="287"/>
      <c r="U40" s="264"/>
      <c r="V40" s="287"/>
      <c r="W40" s="264"/>
      <c r="X40" s="367"/>
      <c r="Y40" s="264"/>
      <c r="Z40" s="287"/>
      <c r="AA40" s="264"/>
      <c r="AB40" s="523"/>
      <c r="AC40" s="264"/>
      <c r="AD40" s="264"/>
      <c r="AE40" s="524"/>
      <c r="AF40" s="264"/>
      <c r="AG40" s="519"/>
      <c r="AH40" s="264"/>
      <c r="AI40" s="264"/>
      <c r="AJ40" s="264"/>
      <c r="AK40" s="283"/>
      <c r="AL40" s="1526"/>
    </row>
    <row r="41" spans="1:38" ht="15" customHeight="1">
      <c r="A41" s="35"/>
      <c r="B41" s="350" t="s">
        <v>384</v>
      </c>
      <c r="C41" s="291"/>
      <c r="D41" s="287"/>
      <c r="E41" s="264"/>
      <c r="F41" s="287"/>
      <c r="G41" s="264"/>
      <c r="H41" s="264"/>
      <c r="I41" s="264"/>
      <c r="J41" s="287"/>
      <c r="K41" s="264"/>
      <c r="L41" s="287"/>
      <c r="M41" s="264"/>
      <c r="N41" s="287"/>
      <c r="O41" s="264"/>
      <c r="P41" s="287"/>
      <c r="Q41" s="264"/>
      <c r="R41" s="287"/>
      <c r="S41" s="264"/>
      <c r="T41" s="287"/>
      <c r="U41" s="264"/>
      <c r="V41" s="287"/>
      <c r="W41" s="264"/>
      <c r="X41" s="367"/>
      <c r="Y41" s="264"/>
      <c r="Z41" s="287"/>
      <c r="AA41" s="264"/>
      <c r="AB41" s="523"/>
      <c r="AC41" s="264"/>
      <c r="AD41" s="264"/>
      <c r="AE41" s="524"/>
      <c r="AF41" s="264"/>
      <c r="AG41" s="519"/>
      <c r="AH41" s="264"/>
      <c r="AI41" s="264"/>
      <c r="AJ41" s="264"/>
      <c r="AK41" s="283"/>
      <c r="AL41" s="1526"/>
    </row>
    <row r="42" spans="1:38" ht="15" customHeight="1">
      <c r="A42" s="35"/>
      <c r="B42" s="350" t="s">
        <v>1423</v>
      </c>
      <c r="C42" s="291"/>
      <c r="D42" s="367">
        <v>1.4</v>
      </c>
      <c r="E42" s="264"/>
      <c r="F42" s="367">
        <v>1.1000000000000001</v>
      </c>
      <c r="G42" s="367"/>
      <c r="H42" s="367">
        <f>$AC42-F42-D42</f>
        <v>2.2000000000000002</v>
      </c>
      <c r="I42" s="264"/>
      <c r="J42" s="367"/>
      <c r="K42" s="553"/>
      <c r="L42" s="367"/>
      <c r="M42" s="1116"/>
      <c r="N42" s="367"/>
      <c r="O42" s="553"/>
      <c r="P42" s="367"/>
      <c r="Q42" s="553"/>
      <c r="R42" s="367"/>
      <c r="S42" s="553"/>
      <c r="T42" s="367"/>
      <c r="U42" s="553"/>
      <c r="V42" s="367"/>
      <c r="W42" s="553"/>
      <c r="X42" s="367"/>
      <c r="Y42" s="553"/>
      <c r="Z42" s="367"/>
      <c r="AA42" s="264"/>
      <c r="AB42" s="524"/>
      <c r="AC42" s="531">
        <v>4.7</v>
      </c>
      <c r="AD42" s="287"/>
      <c r="AE42" s="1763"/>
      <c r="AF42" s="531">
        <v>3.8</v>
      </c>
      <c r="AG42" s="519"/>
      <c r="AH42" s="264"/>
      <c r="AI42" s="264">
        <f>_xlfn.SINGLE(ROUND(SUM(+AC42-AF42),1))</f>
        <v>0.9</v>
      </c>
      <c r="AJ42" s="264"/>
      <c r="AK42" s="283">
        <f>_xlfn.SINGLE(ROUND(IF(AF42=0,0,AI42/ABS(AF42)),3))</f>
        <v>0.23699999999999999</v>
      </c>
      <c r="AL42" s="1526"/>
    </row>
    <row r="43" spans="1:38" ht="15" customHeight="1">
      <c r="A43" s="35"/>
      <c r="B43" s="350" t="s">
        <v>387</v>
      </c>
      <c r="C43" s="291"/>
      <c r="D43" s="367" t="s">
        <v>103</v>
      </c>
      <c r="E43" s="264"/>
      <c r="F43" s="367"/>
      <c r="G43" s="367"/>
      <c r="H43" s="367"/>
      <c r="I43" s="264"/>
      <c r="J43" s="367"/>
      <c r="K43" s="264"/>
      <c r="L43" s="367"/>
      <c r="M43" s="1119"/>
      <c r="N43" s="367"/>
      <c r="O43" s="264"/>
      <c r="P43" s="367"/>
      <c r="Q43" s="264"/>
      <c r="R43" s="367"/>
      <c r="S43" s="264"/>
      <c r="T43" s="367"/>
      <c r="U43" s="264"/>
      <c r="V43" s="367"/>
      <c r="W43" s="264"/>
      <c r="X43" s="367"/>
      <c r="Y43" s="264"/>
      <c r="Z43" s="367"/>
      <c r="AA43" s="264"/>
      <c r="AB43" s="523"/>
      <c r="AC43" s="264" t="s">
        <v>103</v>
      </c>
      <c r="AD43" s="264"/>
      <c r="AE43" s="524"/>
      <c r="AF43" s="264" t="s">
        <v>103</v>
      </c>
      <c r="AG43" s="519"/>
      <c r="AH43" s="264"/>
      <c r="AI43" s="264"/>
      <c r="AJ43" s="264"/>
      <c r="AK43" s="283"/>
      <c r="AL43" s="1526"/>
    </row>
    <row r="44" spans="1:38" ht="15" customHeight="1">
      <c r="A44" s="35"/>
      <c r="B44" s="350" t="s">
        <v>1401</v>
      </c>
      <c r="C44" s="291"/>
      <c r="D44" s="367">
        <v>121.7</v>
      </c>
      <c r="E44" s="264"/>
      <c r="F44" s="367">
        <v>43.600000000000009</v>
      </c>
      <c r="G44" s="367"/>
      <c r="H44" s="367">
        <f t="shared" ref="H44:H80" si="3">$AC44-F44-D44</f>
        <v>90.8</v>
      </c>
      <c r="I44" s="264"/>
      <c r="J44" s="367"/>
      <c r="K44" s="553"/>
      <c r="L44" s="367"/>
      <c r="M44" s="1116"/>
      <c r="N44" s="367"/>
      <c r="O44" s="553"/>
      <c r="P44" s="367"/>
      <c r="Q44" s="553"/>
      <c r="R44" s="367"/>
      <c r="S44" s="553"/>
      <c r="T44" s="367"/>
      <c r="U44" s="553"/>
      <c r="V44" s="367"/>
      <c r="W44" s="553"/>
      <c r="X44" s="367"/>
      <c r="Y44" s="553"/>
      <c r="Z44" s="367"/>
      <c r="AA44" s="264"/>
      <c r="AB44" s="524"/>
      <c r="AC44" s="531">
        <v>256.10000000000002</v>
      </c>
      <c r="AD44" s="287"/>
      <c r="AE44" s="1763"/>
      <c r="AF44" s="531">
        <v>144.19999999999999</v>
      </c>
      <c r="AG44" s="519"/>
      <c r="AH44" s="264"/>
      <c r="AI44" s="264">
        <f>_xlfn.SINGLE(ROUND(SUM(+AC44-AF44),1))</f>
        <v>111.9</v>
      </c>
      <c r="AJ44" s="264"/>
      <c r="AK44" s="283">
        <f>_xlfn.SINGLE(ROUND(IF(AF44=0,0,AI44/ABS(AF44)),3))</f>
        <v>0.77600000000000002</v>
      </c>
      <c r="AL44" s="1526"/>
    </row>
    <row r="45" spans="1:38" ht="15" customHeight="1">
      <c r="A45" s="35"/>
      <c r="B45" s="350" t="s">
        <v>1402</v>
      </c>
      <c r="C45" s="291"/>
      <c r="D45" s="367">
        <v>653.4</v>
      </c>
      <c r="E45" s="264"/>
      <c r="F45" s="367">
        <v>793.00000000000011</v>
      </c>
      <c r="G45" s="367"/>
      <c r="H45" s="367">
        <f t="shared" si="3"/>
        <v>884.6</v>
      </c>
      <c r="I45" s="264"/>
      <c r="J45" s="367"/>
      <c r="K45" s="553"/>
      <c r="L45" s="367"/>
      <c r="M45" s="1116"/>
      <c r="N45" s="367"/>
      <c r="O45" s="553"/>
      <c r="P45" s="367"/>
      <c r="Q45" s="553"/>
      <c r="R45" s="367"/>
      <c r="S45" s="553"/>
      <c r="T45" s="367"/>
      <c r="U45" s="553"/>
      <c r="V45" s="367"/>
      <c r="W45" s="553"/>
      <c r="X45" s="367"/>
      <c r="Y45" s="553"/>
      <c r="Z45" s="367"/>
      <c r="AA45" s="264"/>
      <c r="AB45" s="524"/>
      <c r="AC45" s="531">
        <v>2331</v>
      </c>
      <c r="AD45" s="287"/>
      <c r="AE45" s="1763"/>
      <c r="AF45" s="531">
        <v>2029.7</v>
      </c>
      <c r="AG45" s="519"/>
      <c r="AH45" s="264"/>
      <c r="AI45" s="264">
        <f>_xlfn.SINGLE(ROUND(SUM(+AC45-AF45),1))</f>
        <v>301.3</v>
      </c>
      <c r="AJ45" s="264"/>
      <c r="AK45" s="283">
        <f>_xlfn.SINGLE(ROUND(IF(AF45=0,0,AI45/ABS(AF45)),3))</f>
        <v>0.14799999999999999</v>
      </c>
      <c r="AL45" s="1526"/>
    </row>
    <row r="46" spans="1:38" ht="15" customHeight="1">
      <c r="A46" s="35"/>
      <c r="B46" s="350" t="s">
        <v>1403</v>
      </c>
      <c r="C46" s="291"/>
      <c r="D46" s="367">
        <v>2.9</v>
      </c>
      <c r="E46" s="264"/>
      <c r="F46" s="367">
        <v>0</v>
      </c>
      <c r="G46" s="367"/>
      <c r="H46" s="367">
        <f t="shared" si="3"/>
        <v>0.70000000000000018</v>
      </c>
      <c r="I46" s="264"/>
      <c r="J46" s="367"/>
      <c r="K46" s="553"/>
      <c r="L46" s="367"/>
      <c r="M46" s="1116"/>
      <c r="N46" s="367"/>
      <c r="O46" s="553"/>
      <c r="P46" s="367"/>
      <c r="Q46" s="553"/>
      <c r="R46" s="367"/>
      <c r="S46" s="553"/>
      <c r="T46" s="367"/>
      <c r="U46" s="553"/>
      <c r="V46" s="367"/>
      <c r="W46" s="553"/>
      <c r="X46" s="367"/>
      <c r="Y46" s="553"/>
      <c r="Z46" s="367"/>
      <c r="AA46" s="264"/>
      <c r="AB46" s="524"/>
      <c r="AC46" s="531">
        <v>3.6</v>
      </c>
      <c r="AD46" s="287"/>
      <c r="AE46" s="1763"/>
      <c r="AF46" s="531">
        <v>2.1</v>
      </c>
      <c r="AG46" s="519"/>
      <c r="AH46" s="264"/>
      <c r="AI46" s="264">
        <f>_xlfn.SINGLE(ROUND(SUM(+AC46-AF46),1))</f>
        <v>1.5</v>
      </c>
      <c r="AJ46" s="264"/>
      <c r="AK46" s="607">
        <f>_xlfn.SINGLE(ROUND(IF(AF46=0,0,AI46/ABS(AF46)),3))</f>
        <v>0.71399999999999997</v>
      </c>
      <c r="AL46" s="1526"/>
    </row>
    <row r="47" spans="1:38" ht="15" customHeight="1">
      <c r="A47" s="35"/>
      <c r="B47" s="350" t="s">
        <v>1424</v>
      </c>
      <c r="C47" s="291"/>
      <c r="D47" s="367">
        <v>0</v>
      </c>
      <c r="E47" s="264"/>
      <c r="F47" s="367">
        <v>1005.1</v>
      </c>
      <c r="G47" s="367"/>
      <c r="H47" s="367">
        <f t="shared" si="3"/>
        <v>0.10000000000002274</v>
      </c>
      <c r="I47" s="264"/>
      <c r="J47" s="367"/>
      <c r="K47" s="553"/>
      <c r="L47" s="367"/>
      <c r="M47" s="1116"/>
      <c r="N47" s="367"/>
      <c r="O47" s="553"/>
      <c r="P47" s="367"/>
      <c r="Q47" s="553"/>
      <c r="R47" s="367"/>
      <c r="S47" s="553"/>
      <c r="T47" s="367"/>
      <c r="U47" s="553"/>
      <c r="V47" s="367"/>
      <c r="W47" s="553"/>
      <c r="X47" s="367"/>
      <c r="Y47" s="553"/>
      <c r="Z47" s="367"/>
      <c r="AA47" s="264"/>
      <c r="AB47" s="524"/>
      <c r="AC47" s="531">
        <v>1005.2</v>
      </c>
      <c r="AD47" s="287"/>
      <c r="AE47" s="1763"/>
      <c r="AF47" s="531">
        <v>0.1</v>
      </c>
      <c r="AG47" s="519"/>
      <c r="AH47" s="264"/>
      <c r="AI47" s="264">
        <f>_xlfn.SINGLE(ROUND(SUM(+AC47-AF47),1))</f>
        <v>1005.1</v>
      </c>
      <c r="AJ47" s="264"/>
      <c r="AK47" s="607">
        <f>ROUND(IF(AF47=0,0,AI47/ABS(AF47)),3)</f>
        <v>10051</v>
      </c>
      <c r="AL47" s="1526"/>
    </row>
    <row r="48" spans="1:38" ht="15" customHeight="1">
      <c r="A48" s="35"/>
      <c r="B48" s="350" t="s">
        <v>392</v>
      </c>
      <c r="C48" s="291"/>
      <c r="D48" s="367"/>
      <c r="E48" s="264"/>
      <c r="F48" s="367"/>
      <c r="G48" s="367"/>
      <c r="H48" s="367"/>
      <c r="I48" s="264"/>
      <c r="J48" s="367"/>
      <c r="K48" s="264"/>
      <c r="L48" s="367"/>
      <c r="M48" s="1119"/>
      <c r="N48" s="367"/>
      <c r="O48" s="264"/>
      <c r="P48" s="367"/>
      <c r="Q48" s="264"/>
      <c r="R48" s="367"/>
      <c r="S48" s="264"/>
      <c r="T48" s="367"/>
      <c r="U48" s="264"/>
      <c r="V48" s="367"/>
      <c r="W48" s="264"/>
      <c r="X48" s="367"/>
      <c r="Y48" s="264"/>
      <c r="Z48" s="367"/>
      <c r="AA48" s="264"/>
      <c r="AB48" s="523"/>
      <c r="AC48" s="12" t="s">
        <v>103</v>
      </c>
      <c r="AD48" s="264"/>
      <c r="AE48" s="524"/>
      <c r="AF48" s="12" t="s">
        <v>103</v>
      </c>
      <c r="AG48" s="519"/>
      <c r="AH48" s="264"/>
      <c r="AI48" s="264"/>
      <c r="AJ48" s="264"/>
      <c r="AK48" s="283"/>
      <c r="AL48" s="1526"/>
    </row>
    <row r="49" spans="1:38" ht="15" customHeight="1">
      <c r="A49" s="35"/>
      <c r="B49" s="350" t="s">
        <v>1425</v>
      </c>
      <c r="C49" s="291"/>
      <c r="D49" s="367">
        <v>0</v>
      </c>
      <c r="E49" s="264"/>
      <c r="F49" s="367">
        <v>0</v>
      </c>
      <c r="G49" s="367"/>
      <c r="H49" s="367">
        <f t="shared" si="3"/>
        <v>0.1</v>
      </c>
      <c r="I49" s="264"/>
      <c r="J49" s="367"/>
      <c r="K49" s="553"/>
      <c r="L49" s="367"/>
      <c r="M49" s="1116"/>
      <c r="N49" s="367"/>
      <c r="O49" s="553"/>
      <c r="P49" s="367"/>
      <c r="Q49" s="553"/>
      <c r="R49" s="367"/>
      <c r="S49" s="553"/>
      <c r="T49" s="367"/>
      <c r="U49" s="553"/>
      <c r="V49" s="367"/>
      <c r="W49" s="553"/>
      <c r="X49" s="367"/>
      <c r="Y49" s="553"/>
      <c r="Z49" s="367"/>
      <c r="AA49" s="264"/>
      <c r="AB49" s="524"/>
      <c r="AC49" s="531">
        <v>0.1</v>
      </c>
      <c r="AD49" s="287"/>
      <c r="AE49" s="1763"/>
      <c r="AF49" s="531">
        <v>2.4</v>
      </c>
      <c r="AG49" s="519"/>
      <c r="AH49" s="264"/>
      <c r="AI49" s="264">
        <f t="shared" ref="AI49:AI55" si="4">_xlfn.SINGLE(ROUND(SUM(+AC49-AF49),1))</f>
        <v>-2.2999999999999998</v>
      </c>
      <c r="AJ49" s="264"/>
      <c r="AK49" s="266">
        <f>ROUND(IF(AF49=0,0,AI49/ABS(AF49)),3)</f>
        <v>-0.95799999999999996</v>
      </c>
      <c r="AL49" s="1526"/>
    </row>
    <row r="50" spans="1:38" ht="15" customHeight="1">
      <c r="A50" s="35"/>
      <c r="B50" s="350" t="s">
        <v>1426</v>
      </c>
      <c r="C50" s="291"/>
      <c r="D50" s="367">
        <v>53.4</v>
      </c>
      <c r="E50" s="264"/>
      <c r="F50" s="367">
        <v>41.9</v>
      </c>
      <c r="G50" s="367"/>
      <c r="H50" s="367">
        <f t="shared" si="3"/>
        <v>105.5</v>
      </c>
      <c r="I50" s="264"/>
      <c r="J50" s="367"/>
      <c r="K50" s="553"/>
      <c r="L50" s="367"/>
      <c r="M50" s="1116"/>
      <c r="N50" s="367"/>
      <c r="O50" s="553"/>
      <c r="P50" s="367"/>
      <c r="Q50" s="553"/>
      <c r="R50" s="367"/>
      <c r="S50" s="553"/>
      <c r="T50" s="367"/>
      <c r="U50" s="553"/>
      <c r="V50" s="367"/>
      <c r="W50" s="553"/>
      <c r="X50" s="367"/>
      <c r="Y50" s="553"/>
      <c r="Z50" s="367"/>
      <c r="AA50" s="264"/>
      <c r="AB50" s="524"/>
      <c r="AC50" s="531">
        <v>200.8</v>
      </c>
      <c r="AD50" s="287"/>
      <c r="AE50" s="1763"/>
      <c r="AF50" s="531">
        <v>175.1</v>
      </c>
      <c r="AG50" s="519"/>
      <c r="AH50" s="264"/>
      <c r="AI50" s="264">
        <f t="shared" si="4"/>
        <v>25.7</v>
      </c>
      <c r="AJ50" s="264"/>
      <c r="AK50" s="283">
        <f>_xlfn.SINGLE(ROUND(IF(AF50=0,0,AI50/ABS(AF50)),3))</f>
        <v>0.14699999999999999</v>
      </c>
      <c r="AL50" s="1526"/>
    </row>
    <row r="51" spans="1:38" ht="15" customHeight="1">
      <c r="A51" s="35"/>
      <c r="B51" s="350" t="s">
        <v>487</v>
      </c>
      <c r="C51" s="291"/>
      <c r="D51" s="367">
        <v>3.9</v>
      </c>
      <c r="E51" s="264"/>
      <c r="F51" s="367">
        <v>3.8000000000000003</v>
      </c>
      <c r="G51" s="367"/>
      <c r="H51" s="367">
        <f t="shared" si="3"/>
        <v>4.9999999999999982</v>
      </c>
      <c r="I51" s="264"/>
      <c r="J51" s="367"/>
      <c r="K51" s="553"/>
      <c r="L51" s="367"/>
      <c r="M51" s="1116"/>
      <c r="N51" s="367"/>
      <c r="O51" s="553"/>
      <c r="P51" s="367"/>
      <c r="Q51" s="553"/>
      <c r="R51" s="367"/>
      <c r="S51" s="553"/>
      <c r="T51" s="367"/>
      <c r="U51" s="553"/>
      <c r="V51" s="367"/>
      <c r="W51" s="553"/>
      <c r="X51" s="367"/>
      <c r="Y51" s="553"/>
      <c r="Z51" s="367"/>
      <c r="AA51" s="264"/>
      <c r="AB51" s="524"/>
      <c r="AC51" s="531">
        <v>12.7</v>
      </c>
      <c r="AD51" s="287"/>
      <c r="AE51" s="1763"/>
      <c r="AF51" s="531">
        <v>13.9</v>
      </c>
      <c r="AG51" s="519"/>
      <c r="AH51" s="264"/>
      <c r="AI51" s="264">
        <f t="shared" si="4"/>
        <v>-1.2</v>
      </c>
      <c r="AJ51" s="264"/>
      <c r="AK51" s="283">
        <f>_xlfn.SINGLE(ROUND(IF(AF51=0,0,AI51/ABS(AF51)),3))</f>
        <v>-8.5999999999999993E-2</v>
      </c>
      <c r="AL51" s="1526"/>
    </row>
    <row r="52" spans="1:38" ht="15" customHeight="1">
      <c r="A52" s="35"/>
      <c r="B52" s="350" t="s">
        <v>488</v>
      </c>
      <c r="C52" s="291"/>
      <c r="D52" s="367">
        <v>0</v>
      </c>
      <c r="E52" s="264"/>
      <c r="F52" s="367">
        <v>0.7</v>
      </c>
      <c r="G52" s="367"/>
      <c r="H52" s="367">
        <f t="shared" si="3"/>
        <v>0</v>
      </c>
      <c r="I52" s="264"/>
      <c r="J52" s="367"/>
      <c r="K52" s="553"/>
      <c r="L52" s="367"/>
      <c r="M52" s="1116"/>
      <c r="N52" s="367"/>
      <c r="O52" s="553"/>
      <c r="P52" s="367"/>
      <c r="Q52" s="553"/>
      <c r="R52" s="367"/>
      <c r="S52" s="553"/>
      <c r="T52" s="367"/>
      <c r="U52" s="553"/>
      <c r="V52" s="367"/>
      <c r="W52" s="553"/>
      <c r="X52" s="367"/>
      <c r="Y52" s="553"/>
      <c r="Z52" s="367"/>
      <c r="AA52" s="264"/>
      <c r="AB52" s="524"/>
      <c r="AC52" s="531">
        <v>0.7</v>
      </c>
      <c r="AD52" s="287"/>
      <c r="AE52" s="1763"/>
      <c r="AF52" s="531">
        <v>1</v>
      </c>
      <c r="AG52" s="519"/>
      <c r="AH52" s="264"/>
      <c r="AI52" s="264">
        <f t="shared" si="4"/>
        <v>-0.3</v>
      </c>
      <c r="AJ52" s="264"/>
      <c r="AK52" s="283">
        <f>ROUND(IF(AF52=0,0,AI52/ABS(AF52)),3)</f>
        <v>-0.3</v>
      </c>
      <c r="AL52" s="1526"/>
    </row>
    <row r="53" spans="1:38" ht="15" customHeight="1">
      <c r="A53" s="35"/>
      <c r="B53" s="350" t="s">
        <v>1406</v>
      </c>
      <c r="C53" s="291"/>
      <c r="D53" s="367">
        <v>14.1</v>
      </c>
      <c r="E53" s="264"/>
      <c r="F53" s="367">
        <v>17.899999999999999</v>
      </c>
      <c r="G53" s="367"/>
      <c r="H53" s="367">
        <f t="shared" si="3"/>
        <v>24.1</v>
      </c>
      <c r="I53" s="264"/>
      <c r="J53" s="367"/>
      <c r="K53" s="553"/>
      <c r="L53" s="367"/>
      <c r="M53" s="1116"/>
      <c r="N53" s="367"/>
      <c r="O53" s="553"/>
      <c r="P53" s="367"/>
      <c r="Q53" s="553"/>
      <c r="R53" s="367"/>
      <c r="S53" s="553"/>
      <c r="T53" s="367"/>
      <c r="U53" s="553"/>
      <c r="V53" s="367"/>
      <c r="W53" s="553"/>
      <c r="X53" s="367"/>
      <c r="Y53" s="553"/>
      <c r="Z53" s="367"/>
      <c r="AA53" s="264"/>
      <c r="AB53" s="524"/>
      <c r="AC53" s="531">
        <v>56.1</v>
      </c>
      <c r="AD53" s="287"/>
      <c r="AE53" s="1763"/>
      <c r="AF53" s="531">
        <v>93.6</v>
      </c>
      <c r="AG53" s="519"/>
      <c r="AH53" s="264"/>
      <c r="AI53" s="264">
        <f t="shared" si="4"/>
        <v>-37.5</v>
      </c>
      <c r="AJ53" s="264"/>
      <c r="AK53" s="283">
        <f>_xlfn.SINGLE(ROUND(IF(AF53=0,0,AI53/ABS(AF53)),3))</f>
        <v>-0.40100000000000002</v>
      </c>
      <c r="AL53" s="1526"/>
    </row>
    <row r="54" spans="1:38" ht="15" customHeight="1">
      <c r="A54" s="35"/>
      <c r="B54" s="350" t="s">
        <v>1407</v>
      </c>
      <c r="C54" s="291"/>
      <c r="D54" s="367">
        <v>91</v>
      </c>
      <c r="E54" s="264"/>
      <c r="F54" s="367">
        <v>78.599999999999994</v>
      </c>
      <c r="G54" s="367"/>
      <c r="H54" s="367">
        <f t="shared" si="3"/>
        <v>65.599999999999994</v>
      </c>
      <c r="I54" s="264"/>
      <c r="J54" s="367"/>
      <c r="K54" s="553"/>
      <c r="L54" s="367"/>
      <c r="M54" s="1116"/>
      <c r="N54" s="367"/>
      <c r="O54" s="553"/>
      <c r="P54" s="367"/>
      <c r="Q54" s="553"/>
      <c r="R54" s="367"/>
      <c r="S54" s="553"/>
      <c r="T54" s="367"/>
      <c r="U54" s="553"/>
      <c r="V54" s="367"/>
      <c r="W54" s="553"/>
      <c r="X54" s="367"/>
      <c r="Y54" s="553"/>
      <c r="Z54" s="367"/>
      <c r="AA54" s="264"/>
      <c r="AB54" s="524"/>
      <c r="AC54" s="531">
        <v>235.2</v>
      </c>
      <c r="AD54" s="287"/>
      <c r="AE54" s="1763"/>
      <c r="AF54" s="531">
        <v>198.1</v>
      </c>
      <c r="AG54" s="519"/>
      <c r="AH54" s="264"/>
      <c r="AI54" s="264">
        <f t="shared" si="4"/>
        <v>37.1</v>
      </c>
      <c r="AJ54" s="264"/>
      <c r="AK54" s="283">
        <f>_xlfn.SINGLE(ROUND(IF(AF54=0,0,AI54/ABS(AF54)),3))</f>
        <v>0.187</v>
      </c>
      <c r="AL54" s="1526"/>
    </row>
    <row r="55" spans="1:38" ht="15" customHeight="1">
      <c r="A55" s="35"/>
      <c r="B55" s="350" t="s">
        <v>1398</v>
      </c>
      <c r="C55" s="291"/>
      <c r="D55" s="367">
        <v>44.8</v>
      </c>
      <c r="E55" s="264"/>
      <c r="F55" s="367">
        <v>7.4000000000000057</v>
      </c>
      <c r="G55" s="367"/>
      <c r="H55" s="367">
        <f t="shared" si="3"/>
        <v>4.6999999999999957</v>
      </c>
      <c r="I55" s="264"/>
      <c r="J55" s="367"/>
      <c r="K55" s="553"/>
      <c r="L55" s="367"/>
      <c r="M55" s="1116"/>
      <c r="N55" s="367"/>
      <c r="O55" s="553"/>
      <c r="P55" s="367"/>
      <c r="Q55" s="553"/>
      <c r="R55" s="367"/>
      <c r="S55" s="553"/>
      <c r="T55" s="367"/>
      <c r="U55" s="553"/>
      <c r="V55" s="367"/>
      <c r="W55" s="553"/>
      <c r="X55" s="367"/>
      <c r="Y55" s="553"/>
      <c r="Z55" s="367"/>
      <c r="AA55" s="264"/>
      <c r="AB55" s="524"/>
      <c r="AC55" s="531">
        <v>56.9</v>
      </c>
      <c r="AD55" s="287"/>
      <c r="AE55" s="1763"/>
      <c r="AF55" s="531">
        <v>64.900000000000006</v>
      </c>
      <c r="AG55" s="519"/>
      <c r="AH55" s="264"/>
      <c r="AI55" s="264">
        <f t="shared" si="4"/>
        <v>-8</v>
      </c>
      <c r="AJ55" s="264"/>
      <c r="AK55" s="542">
        <f>_xlfn.SINGLE(ROUND(IF(AF55=0,0,AI55/ABS(AF55)),3))</f>
        <v>-0.123</v>
      </c>
      <c r="AL55" s="1526"/>
    </row>
    <row r="56" spans="1:38" ht="15" customHeight="1">
      <c r="A56" s="35"/>
      <c r="B56" s="350" t="s">
        <v>401</v>
      </c>
      <c r="C56" s="291"/>
      <c r="D56" s="367"/>
      <c r="E56" s="264"/>
      <c r="F56" s="367"/>
      <c r="G56" s="367"/>
      <c r="H56" s="367"/>
      <c r="I56" s="264"/>
      <c r="J56" s="367"/>
      <c r="K56" s="264"/>
      <c r="L56" s="367"/>
      <c r="M56" s="1119"/>
      <c r="N56" s="367"/>
      <c r="O56" s="264"/>
      <c r="P56" s="367"/>
      <c r="Q56" s="264"/>
      <c r="R56" s="367"/>
      <c r="S56" s="264"/>
      <c r="T56" s="367"/>
      <c r="U56" s="264"/>
      <c r="V56" s="367"/>
      <c r="W56" s="264"/>
      <c r="X56" s="367"/>
      <c r="Y56" s="264"/>
      <c r="Z56" s="367"/>
      <c r="AA56" s="264"/>
      <c r="AB56" s="523"/>
      <c r="AC56" s="264" t="s">
        <v>103</v>
      </c>
      <c r="AD56" s="264"/>
      <c r="AE56" s="524"/>
      <c r="AF56" s="264" t="s">
        <v>103</v>
      </c>
      <c r="AG56" s="519"/>
      <c r="AH56" s="264"/>
      <c r="AI56" s="264"/>
      <c r="AJ56" s="264"/>
      <c r="AK56" s="283"/>
      <c r="AL56" s="1526"/>
    </row>
    <row r="57" spans="1:38" ht="15" customHeight="1">
      <c r="A57" s="35"/>
      <c r="B57" s="350" t="s">
        <v>1427</v>
      </c>
      <c r="C57" s="291"/>
      <c r="D57" s="367">
        <v>57.6</v>
      </c>
      <c r="E57" s="264"/>
      <c r="F57" s="367">
        <v>56.999999999999993</v>
      </c>
      <c r="G57" s="367"/>
      <c r="H57" s="367">
        <f t="shared" si="3"/>
        <v>25.999999999999993</v>
      </c>
      <c r="I57" s="264"/>
      <c r="J57" s="367"/>
      <c r="K57" s="553"/>
      <c r="L57" s="367"/>
      <c r="M57" s="1116"/>
      <c r="N57" s="367"/>
      <c r="O57" s="553"/>
      <c r="P57" s="367"/>
      <c r="Q57" s="553"/>
      <c r="R57" s="367"/>
      <c r="S57" s="553"/>
      <c r="T57" s="367"/>
      <c r="U57" s="553"/>
      <c r="V57" s="367"/>
      <c r="W57" s="553"/>
      <c r="X57" s="367"/>
      <c r="Y57" s="553"/>
      <c r="Z57" s="367"/>
      <c r="AA57" s="264"/>
      <c r="AB57" s="524"/>
      <c r="AC57" s="531">
        <v>140.6</v>
      </c>
      <c r="AD57" s="287"/>
      <c r="AE57" s="1763"/>
      <c r="AF57" s="531">
        <v>75.7</v>
      </c>
      <c r="AG57" s="519"/>
      <c r="AH57" s="264"/>
      <c r="AI57" s="264">
        <f t="shared" ref="AI57:AI62" si="5">_xlfn.SINGLE(ROUND(SUM(+AC57-AF57),1))</f>
        <v>64.900000000000006</v>
      </c>
      <c r="AJ57" s="264"/>
      <c r="AK57" s="542">
        <f>_xlfn.SINGLE(ROUND(IF(AF57=0,1,AI57/ABS(AF57)),3))</f>
        <v>0.85699999999999998</v>
      </c>
      <c r="AL57" s="1526"/>
    </row>
    <row r="58" spans="1:38" ht="15" customHeight="1">
      <c r="A58" s="35"/>
      <c r="B58" s="350" t="s">
        <v>1428</v>
      </c>
      <c r="C58" s="291"/>
      <c r="D58" s="367">
        <v>218.6</v>
      </c>
      <c r="E58" s="264"/>
      <c r="F58" s="367">
        <v>177.9</v>
      </c>
      <c r="G58" s="367"/>
      <c r="H58" s="367">
        <f t="shared" si="3"/>
        <v>175.79999999999998</v>
      </c>
      <c r="I58" s="264"/>
      <c r="J58" s="367"/>
      <c r="K58" s="553"/>
      <c r="L58" s="367"/>
      <c r="M58" s="1116"/>
      <c r="N58" s="367"/>
      <c r="O58" s="553"/>
      <c r="P58" s="367"/>
      <c r="Q58" s="553"/>
      <c r="R58" s="367"/>
      <c r="S58" s="553"/>
      <c r="T58" s="367"/>
      <c r="U58" s="553"/>
      <c r="V58" s="367"/>
      <c r="W58" s="553"/>
      <c r="X58" s="367"/>
      <c r="Y58" s="553"/>
      <c r="Z58" s="367"/>
      <c r="AA58" s="264"/>
      <c r="AB58" s="524"/>
      <c r="AC58" s="531">
        <v>572.29999999999995</v>
      </c>
      <c r="AD58" s="287"/>
      <c r="AE58" s="1763"/>
      <c r="AF58" s="531">
        <v>575</v>
      </c>
      <c r="AG58" s="519"/>
      <c r="AH58" s="264"/>
      <c r="AI58" s="264">
        <f t="shared" si="5"/>
        <v>-2.7</v>
      </c>
      <c r="AJ58" s="264"/>
      <c r="AK58" s="283">
        <f>_xlfn.SINGLE(ROUND(IF(AF58=0,0,AI58/ABS(AF58)),3))</f>
        <v>-5.0000000000000001E-3</v>
      </c>
      <c r="AL58" s="1526"/>
    </row>
    <row r="59" spans="1:38" ht="15" customHeight="1">
      <c r="A59" s="35"/>
      <c r="B59" s="350" t="s">
        <v>1429</v>
      </c>
      <c r="C59" s="291"/>
      <c r="D59" s="367">
        <v>117.4</v>
      </c>
      <c r="E59" s="264"/>
      <c r="F59" s="367">
        <v>109.79999999999998</v>
      </c>
      <c r="G59" s="367"/>
      <c r="H59" s="367">
        <f t="shared" si="3"/>
        <v>39</v>
      </c>
      <c r="I59" s="264"/>
      <c r="J59" s="367"/>
      <c r="K59" s="553"/>
      <c r="L59" s="367"/>
      <c r="M59" s="1116"/>
      <c r="N59" s="367"/>
      <c r="O59" s="553"/>
      <c r="P59" s="367"/>
      <c r="Q59" s="553"/>
      <c r="R59" s="367"/>
      <c r="S59" s="553"/>
      <c r="T59" s="367"/>
      <c r="U59" s="553"/>
      <c r="V59" s="367"/>
      <c r="W59" s="553"/>
      <c r="X59" s="367"/>
      <c r="Y59" s="553"/>
      <c r="Z59" s="367"/>
      <c r="AA59" s="264"/>
      <c r="AB59" s="524"/>
      <c r="AC59" s="531">
        <v>266.2</v>
      </c>
      <c r="AD59" s="287"/>
      <c r="AE59" s="1763"/>
      <c r="AF59" s="531">
        <v>304.8</v>
      </c>
      <c r="AG59" s="519"/>
      <c r="AH59" s="264"/>
      <c r="AI59" s="264">
        <f t="shared" si="5"/>
        <v>-38.6</v>
      </c>
      <c r="AJ59" s="264"/>
      <c r="AK59" s="283">
        <f>_xlfn.SINGLE(ROUND(IF(AF59=0,1,AI59/ABS(AF59)),3))</f>
        <v>-0.127</v>
      </c>
      <c r="AL59" s="1526"/>
    </row>
    <row r="60" spans="1:38" ht="15" customHeight="1">
      <c r="A60" s="35"/>
      <c r="B60" s="350" t="s">
        <v>1430</v>
      </c>
      <c r="C60" s="291"/>
      <c r="D60" s="367">
        <v>103</v>
      </c>
      <c r="E60" s="264"/>
      <c r="F60" s="367">
        <v>47.400000000000006</v>
      </c>
      <c r="G60" s="367"/>
      <c r="H60" s="367">
        <f t="shared" si="3"/>
        <v>48.299999999999983</v>
      </c>
      <c r="I60" s="264"/>
      <c r="J60" s="367"/>
      <c r="K60" s="553"/>
      <c r="L60" s="367"/>
      <c r="M60" s="1116"/>
      <c r="N60" s="367"/>
      <c r="O60" s="553"/>
      <c r="P60" s="367"/>
      <c r="Q60" s="553"/>
      <c r="R60" s="367"/>
      <c r="S60" s="553"/>
      <c r="T60" s="367"/>
      <c r="U60" s="553"/>
      <c r="V60" s="367"/>
      <c r="W60" s="553"/>
      <c r="X60" s="367"/>
      <c r="Y60" s="553"/>
      <c r="Z60" s="367"/>
      <c r="AA60" s="264"/>
      <c r="AB60" s="524"/>
      <c r="AC60" s="531">
        <v>198.7</v>
      </c>
      <c r="AD60" s="287"/>
      <c r="AE60" s="1763"/>
      <c r="AF60" s="531">
        <v>256.89999999999998</v>
      </c>
      <c r="AG60" s="519"/>
      <c r="AH60" s="264"/>
      <c r="AI60" s="264">
        <f t="shared" si="5"/>
        <v>-58.2</v>
      </c>
      <c r="AJ60" s="264"/>
      <c r="AK60" s="607">
        <f>_xlfn.SINGLE(ROUND(IF(AF60=0,1,AI60/ABS(AF60)),3))</f>
        <v>-0.22700000000000001</v>
      </c>
      <c r="AL60" s="1526"/>
    </row>
    <row r="61" spans="1:38" ht="15" customHeight="1">
      <c r="A61" s="35"/>
      <c r="B61" s="350" t="s">
        <v>1431</v>
      </c>
      <c r="C61" s="291"/>
      <c r="D61" s="367">
        <v>60.6</v>
      </c>
      <c r="E61" s="264"/>
      <c r="F61" s="367">
        <v>55.70000000000001</v>
      </c>
      <c r="G61" s="367"/>
      <c r="H61" s="367">
        <f t="shared" si="3"/>
        <v>70.5</v>
      </c>
      <c r="I61" s="264"/>
      <c r="J61" s="367"/>
      <c r="K61" s="553"/>
      <c r="L61" s="367"/>
      <c r="M61" s="1116"/>
      <c r="N61" s="367"/>
      <c r="O61" s="553"/>
      <c r="P61" s="367"/>
      <c r="Q61" s="553"/>
      <c r="R61" s="367"/>
      <c r="S61" s="553"/>
      <c r="T61" s="367"/>
      <c r="U61" s="553"/>
      <c r="V61" s="367"/>
      <c r="W61" s="553"/>
      <c r="X61" s="367"/>
      <c r="Y61" s="553"/>
      <c r="Z61" s="367"/>
      <c r="AA61" s="264"/>
      <c r="AB61" s="524"/>
      <c r="AC61" s="531">
        <v>186.8</v>
      </c>
      <c r="AD61" s="287"/>
      <c r="AE61" s="1763"/>
      <c r="AF61" s="531">
        <v>182.6</v>
      </c>
      <c r="AG61" s="519"/>
      <c r="AH61" s="264"/>
      <c r="AI61" s="264">
        <f t="shared" si="5"/>
        <v>4.2</v>
      </c>
      <c r="AJ61" s="264"/>
      <c r="AK61" s="607">
        <f>_xlfn.SINGLE(ROUND(IF(AF61=0,0,AI61/ABS(AF61)),3))</f>
        <v>2.3E-2</v>
      </c>
      <c r="AL61" s="1526"/>
    </row>
    <row r="62" spans="1:38" ht="15" customHeight="1">
      <c r="A62" s="35"/>
      <c r="B62" s="350" t="s">
        <v>1409</v>
      </c>
      <c r="C62" s="291"/>
      <c r="D62" s="367">
        <v>7.3</v>
      </c>
      <c r="E62" s="264"/>
      <c r="F62" s="367">
        <v>0.60000000000000053</v>
      </c>
      <c r="G62" s="367"/>
      <c r="H62" s="367">
        <f t="shared" si="3"/>
        <v>8</v>
      </c>
      <c r="I62" s="264"/>
      <c r="J62" s="367"/>
      <c r="K62" s="553"/>
      <c r="L62" s="367"/>
      <c r="M62" s="1116"/>
      <c r="N62" s="367"/>
      <c r="O62" s="553"/>
      <c r="P62" s="367"/>
      <c r="Q62" s="553"/>
      <c r="R62" s="367"/>
      <c r="S62" s="553"/>
      <c r="T62" s="367"/>
      <c r="U62" s="553"/>
      <c r="V62" s="367"/>
      <c r="W62" s="553"/>
      <c r="X62" s="367"/>
      <c r="Y62" s="553"/>
      <c r="Z62" s="367"/>
      <c r="AA62" s="264"/>
      <c r="AB62" s="524"/>
      <c r="AC62" s="531">
        <v>15.9</v>
      </c>
      <c r="AD62" s="287"/>
      <c r="AE62" s="1763"/>
      <c r="AF62" s="531">
        <v>13.3</v>
      </c>
      <c r="AG62" s="519"/>
      <c r="AH62" s="264"/>
      <c r="AI62" s="264">
        <f t="shared" si="5"/>
        <v>2.6</v>
      </c>
      <c r="AJ62" s="264"/>
      <c r="AK62" s="283">
        <f>_xlfn.SINGLE(ROUND(IF(AF62=0,0,AI62/ABS(AF62)),3))</f>
        <v>0.19500000000000001</v>
      </c>
      <c r="AL62" s="1526"/>
    </row>
    <row r="63" spans="1:38" ht="15" customHeight="1">
      <c r="A63" s="35"/>
      <c r="B63" s="350" t="s">
        <v>408</v>
      </c>
      <c r="C63" s="291"/>
      <c r="D63" s="367"/>
      <c r="E63" s="264"/>
      <c r="F63" s="367"/>
      <c r="G63" s="367"/>
      <c r="H63" s="367"/>
      <c r="I63" s="264"/>
      <c r="J63" s="367"/>
      <c r="K63" s="264"/>
      <c r="L63" s="367"/>
      <c r="M63" s="1119"/>
      <c r="N63" s="367"/>
      <c r="O63" s="264"/>
      <c r="P63" s="367"/>
      <c r="Q63" s="264"/>
      <c r="R63" s="367"/>
      <c r="S63" s="264"/>
      <c r="T63" s="367"/>
      <c r="U63" s="264"/>
      <c r="V63" s="367"/>
      <c r="W63" s="264"/>
      <c r="X63" s="367"/>
      <c r="Y63" s="264"/>
      <c r="Z63" s="367"/>
      <c r="AA63" s="264"/>
      <c r="AB63" s="523"/>
      <c r="AC63" s="264" t="s">
        <v>103</v>
      </c>
      <c r="AD63" s="264"/>
      <c r="AE63" s="524"/>
      <c r="AF63" s="264" t="s">
        <v>103</v>
      </c>
      <c r="AG63" s="519"/>
      <c r="AH63" s="264"/>
      <c r="AI63" s="264"/>
      <c r="AJ63" s="264"/>
      <c r="AK63" s="283"/>
      <c r="AL63" s="1526"/>
    </row>
    <row r="64" spans="1:38" ht="15" customHeight="1">
      <c r="A64" s="35"/>
      <c r="B64" s="350" t="s">
        <v>494</v>
      </c>
      <c r="C64" s="291"/>
      <c r="D64" s="367">
        <v>0</v>
      </c>
      <c r="E64" s="264"/>
      <c r="F64" s="367">
        <v>0</v>
      </c>
      <c r="G64" s="367"/>
      <c r="H64" s="367">
        <f t="shared" si="3"/>
        <v>0</v>
      </c>
      <c r="I64" s="264"/>
      <c r="J64" s="367"/>
      <c r="K64" s="553"/>
      <c r="L64" s="367"/>
      <c r="M64" s="1116"/>
      <c r="N64" s="367"/>
      <c r="O64" s="553"/>
      <c r="P64" s="367"/>
      <c r="Q64" s="553"/>
      <c r="R64" s="367"/>
      <c r="S64" s="553"/>
      <c r="T64" s="367"/>
      <c r="U64" s="553"/>
      <c r="V64" s="367"/>
      <c r="W64" s="553"/>
      <c r="X64" s="367"/>
      <c r="Y64" s="553"/>
      <c r="Z64" s="367"/>
      <c r="AA64" s="264"/>
      <c r="AB64" s="524"/>
      <c r="AC64" s="531">
        <v>0</v>
      </c>
      <c r="AD64" s="287"/>
      <c r="AE64" s="1763"/>
      <c r="AF64" s="531">
        <v>0</v>
      </c>
      <c r="AG64" s="519"/>
      <c r="AH64" s="264"/>
      <c r="AI64" s="264">
        <f>_xlfn.SINGLE(ROUND(SUM(+AC64-AF64),1))</f>
        <v>0</v>
      </c>
      <c r="AJ64" s="264"/>
      <c r="AK64" s="283">
        <f>_xlfn.SINGLE(ROUND(IF(AF64=0,0,AI64/ABS(AF64)),3))</f>
        <v>0</v>
      </c>
      <c r="AL64" s="1526"/>
    </row>
    <row r="65" spans="1:38" ht="15" customHeight="1">
      <c r="A65" s="35"/>
      <c r="B65" s="350" t="s">
        <v>1432</v>
      </c>
      <c r="C65" s="291"/>
      <c r="D65" s="367">
        <v>0.4</v>
      </c>
      <c r="E65" s="264"/>
      <c r="F65" s="367">
        <v>0</v>
      </c>
      <c r="G65" s="367"/>
      <c r="H65" s="367">
        <f t="shared" si="3"/>
        <v>0</v>
      </c>
      <c r="I65" s="264"/>
      <c r="J65" s="367"/>
      <c r="K65" s="553"/>
      <c r="L65" s="367"/>
      <c r="M65" s="1116"/>
      <c r="N65" s="367"/>
      <c r="O65" s="553"/>
      <c r="P65" s="367"/>
      <c r="Q65" s="553"/>
      <c r="R65" s="367"/>
      <c r="S65" s="553"/>
      <c r="T65" s="367"/>
      <c r="U65" s="553"/>
      <c r="V65" s="367"/>
      <c r="W65" s="553"/>
      <c r="X65" s="367"/>
      <c r="Y65" s="553"/>
      <c r="Z65" s="367"/>
      <c r="AA65" s="264"/>
      <c r="AB65" s="524"/>
      <c r="AC65" s="531">
        <v>0.4</v>
      </c>
      <c r="AD65" s="287"/>
      <c r="AE65" s="1763"/>
      <c r="AF65" s="531">
        <v>13.1</v>
      </c>
      <c r="AG65" s="519"/>
      <c r="AH65" s="264"/>
      <c r="AI65" s="264">
        <f>_xlfn.SINGLE(ROUND(SUM(+AC65-AF65),1))</f>
        <v>-12.7</v>
      </c>
      <c r="AJ65" s="264"/>
      <c r="AK65" s="607">
        <f>_xlfn.SINGLE(ROUND(IF(AF65=0,1,AI65/ABS(AF65)),3))</f>
        <v>-0.96899999999999997</v>
      </c>
      <c r="AL65" s="1526"/>
    </row>
    <row r="66" spans="1:38" ht="15" customHeight="1">
      <c r="A66" s="35"/>
      <c r="B66" s="350" t="s">
        <v>1410</v>
      </c>
      <c r="C66" s="291"/>
      <c r="D66" s="367">
        <v>0</v>
      </c>
      <c r="E66" s="264"/>
      <c r="F66" s="367">
        <v>1.2</v>
      </c>
      <c r="G66" s="367"/>
      <c r="H66" s="367">
        <f t="shared" si="3"/>
        <v>0.30000000000000004</v>
      </c>
      <c r="I66" s="264"/>
      <c r="J66" s="367"/>
      <c r="K66" s="553"/>
      <c r="L66" s="367"/>
      <c r="M66" s="1116"/>
      <c r="N66" s="367"/>
      <c r="O66" s="553"/>
      <c r="P66" s="367"/>
      <c r="Q66" s="553"/>
      <c r="R66" s="367"/>
      <c r="S66" s="553"/>
      <c r="T66" s="367"/>
      <c r="U66" s="553"/>
      <c r="V66" s="367"/>
      <c r="W66" s="553"/>
      <c r="X66" s="367"/>
      <c r="Y66" s="553"/>
      <c r="Z66" s="367"/>
      <c r="AA66" s="264"/>
      <c r="AB66" s="524"/>
      <c r="AC66" s="531">
        <v>1.5</v>
      </c>
      <c r="AD66" s="287"/>
      <c r="AE66" s="1763"/>
      <c r="AF66" s="531">
        <v>2.4</v>
      </c>
      <c r="AG66" s="519"/>
      <c r="AH66" s="264"/>
      <c r="AI66" s="264">
        <f>_xlfn.SINGLE(ROUND(SUM(+AC66-AF66),1))</f>
        <v>-0.9</v>
      </c>
      <c r="AJ66" s="264"/>
      <c r="AK66" s="607">
        <f>_xlfn.SINGLE(ROUND(IF(AF66=0,0,AI66/ABS(AF66)),3))</f>
        <v>-0.375</v>
      </c>
      <c r="AL66" s="1526"/>
    </row>
    <row r="67" spans="1:38" ht="15" customHeight="1">
      <c r="A67" s="35"/>
      <c r="B67" s="350" t="s">
        <v>1433</v>
      </c>
      <c r="C67" s="291"/>
      <c r="D67" s="367">
        <v>4.7</v>
      </c>
      <c r="E67" s="264"/>
      <c r="F67" s="367">
        <v>4.4999999999999991</v>
      </c>
      <c r="G67" s="367"/>
      <c r="H67" s="367">
        <f t="shared" si="3"/>
        <v>4.4999999999999991</v>
      </c>
      <c r="I67" s="264"/>
      <c r="J67" s="367"/>
      <c r="K67" s="553"/>
      <c r="L67" s="367"/>
      <c r="M67" s="1116"/>
      <c r="N67" s="367"/>
      <c r="O67" s="553"/>
      <c r="P67" s="367"/>
      <c r="Q67" s="553"/>
      <c r="R67" s="367"/>
      <c r="S67" s="553"/>
      <c r="T67" s="367"/>
      <c r="U67" s="553"/>
      <c r="V67" s="367"/>
      <c r="W67" s="553"/>
      <c r="X67" s="367"/>
      <c r="Y67" s="553"/>
      <c r="Z67" s="367"/>
      <c r="AA67" s="264"/>
      <c r="AB67" s="524"/>
      <c r="AC67" s="531">
        <v>13.7</v>
      </c>
      <c r="AD67" s="287"/>
      <c r="AE67" s="1763"/>
      <c r="AF67" s="531">
        <v>11.6</v>
      </c>
      <c r="AG67" s="519"/>
      <c r="AH67" s="264"/>
      <c r="AI67" s="264">
        <f>_xlfn.SINGLE(ROUND(SUM(+AC67-AF67),1))</f>
        <v>2.1</v>
      </c>
      <c r="AJ67" s="264"/>
      <c r="AK67" s="607">
        <f>_xlfn.SINGLE(ROUND(IF(AF67=0,0,AI67/ABS(AF67)),3))</f>
        <v>0.18099999999999999</v>
      </c>
      <c r="AL67" s="1526"/>
    </row>
    <row r="68" spans="1:38" ht="15" customHeight="1">
      <c r="A68" s="35"/>
      <c r="B68" s="350" t="s">
        <v>413</v>
      </c>
      <c r="C68" s="291"/>
      <c r="D68" s="367">
        <v>59.6</v>
      </c>
      <c r="E68" s="264"/>
      <c r="F68" s="367">
        <v>24.4</v>
      </c>
      <c r="G68" s="367"/>
      <c r="H68" s="367">
        <f t="shared" si="3"/>
        <v>0.5</v>
      </c>
      <c r="I68" s="264"/>
      <c r="J68" s="367"/>
      <c r="K68" s="553"/>
      <c r="L68" s="367"/>
      <c r="M68" s="1116"/>
      <c r="N68" s="367"/>
      <c r="O68" s="553"/>
      <c r="P68" s="367"/>
      <c r="Q68" s="553"/>
      <c r="R68" s="367"/>
      <c r="S68" s="553"/>
      <c r="T68" s="367"/>
      <c r="U68" s="553"/>
      <c r="V68" s="367"/>
      <c r="W68" s="553"/>
      <c r="X68" s="367"/>
      <c r="Y68" s="553"/>
      <c r="Z68" s="367"/>
      <c r="AA68" s="264"/>
      <c r="AB68" s="524"/>
      <c r="AC68" s="531">
        <v>84.5</v>
      </c>
      <c r="AD68" s="287"/>
      <c r="AE68" s="1763"/>
      <c r="AF68" s="531">
        <v>88.5</v>
      </c>
      <c r="AG68" s="519"/>
      <c r="AH68" s="264"/>
      <c r="AI68" s="264">
        <f>_xlfn.SINGLE(ROUND(SUM(+AC68-AF68),1))</f>
        <v>-4</v>
      </c>
      <c r="AJ68" s="264"/>
      <c r="AK68" s="607">
        <f>_xlfn.SINGLE(ROUND(IF(AF68=0,0,AI68/ABS(AF68)),3))</f>
        <v>-4.4999999999999998E-2</v>
      </c>
      <c r="AL68" s="1526"/>
    </row>
    <row r="69" spans="1:38" ht="17.25" customHeight="1">
      <c r="A69" s="35"/>
      <c r="B69" s="350" t="s">
        <v>414</v>
      </c>
      <c r="C69" s="291"/>
      <c r="D69" s="367"/>
      <c r="E69" s="264"/>
      <c r="F69" s="367"/>
      <c r="G69" s="367"/>
      <c r="H69" s="367"/>
      <c r="I69" s="264"/>
      <c r="J69" s="367"/>
      <c r="K69" s="264"/>
      <c r="L69" s="367"/>
      <c r="M69" s="1119"/>
      <c r="N69" s="367"/>
      <c r="O69" s="264"/>
      <c r="P69" s="367"/>
      <c r="Q69" s="264"/>
      <c r="R69" s="367"/>
      <c r="S69" s="264"/>
      <c r="T69" s="367"/>
      <c r="U69" s="264"/>
      <c r="V69" s="367"/>
      <c r="W69" s="264"/>
      <c r="X69" s="367"/>
      <c r="Y69" s="264"/>
      <c r="Z69" s="367"/>
      <c r="AA69" s="264"/>
      <c r="AB69" s="523"/>
      <c r="AC69" s="264" t="s">
        <v>103</v>
      </c>
      <c r="AD69" s="264"/>
      <c r="AE69" s="524"/>
      <c r="AF69" s="264" t="s">
        <v>103</v>
      </c>
      <c r="AG69" s="519"/>
      <c r="AH69" s="264"/>
      <c r="AI69" s="264"/>
      <c r="AJ69" s="264"/>
      <c r="AK69" s="283"/>
      <c r="AL69" s="1526"/>
    </row>
    <row r="70" spans="1:38" ht="15" customHeight="1">
      <c r="A70" s="35"/>
      <c r="B70" s="350" t="s">
        <v>1411</v>
      </c>
      <c r="C70" s="291"/>
      <c r="D70" s="367">
        <v>0.3</v>
      </c>
      <c r="E70" s="264"/>
      <c r="F70" s="367">
        <v>18.099999999999998</v>
      </c>
      <c r="G70" s="367"/>
      <c r="H70" s="367">
        <f t="shared" si="3"/>
        <v>27</v>
      </c>
      <c r="I70" s="264"/>
      <c r="J70" s="367"/>
      <c r="K70" s="553"/>
      <c r="L70" s="367"/>
      <c r="M70" s="1116"/>
      <c r="N70" s="367"/>
      <c r="O70" s="553"/>
      <c r="P70" s="367"/>
      <c r="Q70" s="553"/>
      <c r="R70" s="367"/>
      <c r="S70" s="553"/>
      <c r="T70" s="367"/>
      <c r="U70" s="553"/>
      <c r="V70" s="367"/>
      <c r="W70" s="553"/>
      <c r="X70" s="367"/>
      <c r="Y70" s="553"/>
      <c r="Z70" s="367"/>
      <c r="AA70" s="264"/>
      <c r="AB70" s="524"/>
      <c r="AC70" s="531">
        <v>45.4</v>
      </c>
      <c r="AD70" s="287"/>
      <c r="AE70" s="1763"/>
      <c r="AF70" s="531">
        <v>43.6</v>
      </c>
      <c r="AG70" s="519"/>
      <c r="AH70" s="264"/>
      <c r="AI70" s="264">
        <f t="shared" ref="AI70:AI80" si="6">_xlfn.SINGLE(ROUND(SUM(+AC70-AF70),1))</f>
        <v>1.8</v>
      </c>
      <c r="AJ70" s="264"/>
      <c r="AK70" s="607">
        <f>_xlfn.SINGLE(ROUND(IF(AF70=0,0,AI70/ABS(AF70)),3))</f>
        <v>4.1000000000000002E-2</v>
      </c>
      <c r="AL70" s="1526"/>
    </row>
    <row r="71" spans="1:38" ht="15" customHeight="1">
      <c r="A71" s="35"/>
      <c r="B71" s="350" t="s">
        <v>499</v>
      </c>
      <c r="C71" s="291"/>
      <c r="D71" s="367">
        <v>1.3</v>
      </c>
      <c r="E71" s="264"/>
      <c r="F71" s="367">
        <v>1.2</v>
      </c>
      <c r="G71" s="367"/>
      <c r="H71" s="367">
        <f t="shared" si="3"/>
        <v>0.69999999999999973</v>
      </c>
      <c r="I71" s="264"/>
      <c r="J71" s="367"/>
      <c r="K71" s="553"/>
      <c r="L71" s="367"/>
      <c r="M71" s="1116"/>
      <c r="N71" s="367"/>
      <c r="O71" s="553"/>
      <c r="P71" s="367"/>
      <c r="Q71" s="553"/>
      <c r="R71" s="367"/>
      <c r="S71" s="553"/>
      <c r="T71" s="367"/>
      <c r="U71" s="553"/>
      <c r="V71" s="367"/>
      <c r="W71" s="553"/>
      <c r="X71" s="367"/>
      <c r="Y71" s="553"/>
      <c r="Z71" s="367"/>
      <c r="AA71" s="264"/>
      <c r="AB71" s="524"/>
      <c r="AC71" s="531">
        <v>3.1999999999999997</v>
      </c>
      <c r="AD71" s="287"/>
      <c r="AE71" s="1763"/>
      <c r="AF71" s="531">
        <v>0.5</v>
      </c>
      <c r="AG71" s="519"/>
      <c r="AH71" s="264"/>
      <c r="AI71" s="264">
        <f t="shared" si="6"/>
        <v>2.7</v>
      </c>
      <c r="AJ71" s="264"/>
      <c r="AK71" s="607">
        <f>_xlfn.SINGLE(ROUND(IF(AF71=0,1,AI71/ABS(AF71)),3))</f>
        <v>5.4</v>
      </c>
      <c r="AL71" s="1526"/>
    </row>
    <row r="72" spans="1:38" ht="15" customHeight="1">
      <c r="A72" s="35"/>
      <c r="B72" s="350" t="s">
        <v>1412</v>
      </c>
      <c r="C72" s="291"/>
      <c r="D72" s="367">
        <v>6.5</v>
      </c>
      <c r="E72" s="264"/>
      <c r="F72" s="367">
        <v>11.899999999999999</v>
      </c>
      <c r="G72" s="367"/>
      <c r="H72" s="367">
        <f t="shared" si="3"/>
        <v>2.3999999999999986</v>
      </c>
      <c r="I72" s="264"/>
      <c r="J72" s="367"/>
      <c r="K72" s="553"/>
      <c r="L72" s="367"/>
      <c r="M72" s="1116"/>
      <c r="N72" s="367"/>
      <c r="O72" s="553"/>
      <c r="P72" s="367"/>
      <c r="Q72" s="553"/>
      <c r="R72" s="367"/>
      <c r="S72" s="553"/>
      <c r="T72" s="367"/>
      <c r="U72" s="553"/>
      <c r="V72" s="367"/>
      <c r="W72" s="553"/>
      <c r="X72" s="367"/>
      <c r="Y72" s="553"/>
      <c r="Z72" s="367"/>
      <c r="AA72" s="264"/>
      <c r="AB72" s="524"/>
      <c r="AC72" s="531">
        <v>20.799999999999997</v>
      </c>
      <c r="AD72" s="287"/>
      <c r="AE72" s="1763"/>
      <c r="AF72" s="531">
        <v>8.4</v>
      </c>
      <c r="AG72" s="519"/>
      <c r="AH72" s="264"/>
      <c r="AI72" s="264">
        <f t="shared" si="6"/>
        <v>12.4</v>
      </c>
      <c r="AJ72" s="264"/>
      <c r="AK72" s="607">
        <f>_xlfn.SINGLE(ROUND(IF(AF72=0,0,AI72/ABS(AF72)),3))</f>
        <v>1.476</v>
      </c>
      <c r="AL72" s="1526"/>
    </row>
    <row r="73" spans="1:38" ht="15" customHeight="1">
      <c r="A73" s="35"/>
      <c r="B73" s="350" t="s">
        <v>1413</v>
      </c>
      <c r="C73" s="291"/>
      <c r="D73" s="367">
        <v>-0.2</v>
      </c>
      <c r="E73" s="264"/>
      <c r="F73" s="367">
        <v>0.4</v>
      </c>
      <c r="G73" s="367"/>
      <c r="H73" s="367">
        <f t="shared" si="3"/>
        <v>1</v>
      </c>
      <c r="I73" s="264"/>
      <c r="J73" s="367"/>
      <c r="K73" s="553"/>
      <c r="L73" s="367"/>
      <c r="M73" s="1116"/>
      <c r="N73" s="367"/>
      <c r="O73" s="553"/>
      <c r="P73" s="367"/>
      <c r="Q73" s="553"/>
      <c r="R73" s="367"/>
      <c r="S73" s="553"/>
      <c r="T73" s="367"/>
      <c r="U73" s="553"/>
      <c r="V73" s="367"/>
      <c r="W73" s="553"/>
      <c r="X73" s="367"/>
      <c r="Y73" s="553"/>
      <c r="Z73" s="367"/>
      <c r="AA73" s="264"/>
      <c r="AB73" s="524"/>
      <c r="AC73" s="531">
        <v>1.2</v>
      </c>
      <c r="AD73" s="287"/>
      <c r="AE73" s="1763"/>
      <c r="AF73" s="531">
        <v>0</v>
      </c>
      <c r="AG73" s="519"/>
      <c r="AH73" s="264"/>
      <c r="AI73" s="264">
        <f t="shared" si="6"/>
        <v>1.2</v>
      </c>
      <c r="AJ73" s="264"/>
      <c r="AK73" s="607">
        <f>ROUND(IF(AF73=0,1,AI73/ABS(AF73)),3)</f>
        <v>1</v>
      </c>
      <c r="AL73" s="1526"/>
    </row>
    <row r="74" spans="1:38" ht="15" customHeight="1">
      <c r="A74" s="35"/>
      <c r="B74" s="350" t="s">
        <v>1414</v>
      </c>
      <c r="C74" s="291"/>
      <c r="D74" s="367">
        <v>337</v>
      </c>
      <c r="E74" s="264"/>
      <c r="F74" s="367">
        <v>291.89999999999998</v>
      </c>
      <c r="G74" s="367"/>
      <c r="H74" s="367">
        <f t="shared" si="3"/>
        <v>298.60000000000002</v>
      </c>
      <c r="I74" s="264"/>
      <c r="J74" s="367"/>
      <c r="K74" s="553"/>
      <c r="L74" s="367"/>
      <c r="M74" s="1116"/>
      <c r="N74" s="367"/>
      <c r="O74" s="553"/>
      <c r="P74" s="367"/>
      <c r="Q74" s="553"/>
      <c r="R74" s="367"/>
      <c r="S74" s="553"/>
      <c r="T74" s="367"/>
      <c r="U74" s="553"/>
      <c r="V74" s="367"/>
      <c r="W74" s="553"/>
      <c r="X74" s="367"/>
      <c r="Y74" s="553"/>
      <c r="Z74" s="367"/>
      <c r="AA74" s="264"/>
      <c r="AB74" s="524"/>
      <c r="AC74" s="531">
        <v>927.5</v>
      </c>
      <c r="AD74" s="287"/>
      <c r="AE74" s="1763"/>
      <c r="AF74" s="531">
        <v>858.6</v>
      </c>
      <c r="AG74" s="519"/>
      <c r="AH74" s="264"/>
      <c r="AI74" s="264">
        <f t="shared" si="6"/>
        <v>68.900000000000006</v>
      </c>
      <c r="AJ74" s="264"/>
      <c r="AK74" s="607">
        <f>_xlfn.SINGLE(ROUND(IF(AF74=0,0,AI74/ABS(AF74)),3))</f>
        <v>0.08</v>
      </c>
      <c r="AL74" s="1526"/>
    </row>
    <row r="75" spans="1:38" ht="15" customHeight="1">
      <c r="A75" s="35"/>
      <c r="B75" s="350" t="s">
        <v>1434</v>
      </c>
      <c r="C75" s="291"/>
      <c r="D75" s="367">
        <v>1.4</v>
      </c>
      <c r="E75" s="264"/>
      <c r="F75" s="367">
        <v>1</v>
      </c>
      <c r="G75" s="367"/>
      <c r="H75" s="367">
        <f t="shared" si="3"/>
        <v>3.0000000000000004</v>
      </c>
      <c r="I75" s="264"/>
      <c r="J75" s="367"/>
      <c r="K75" s="553"/>
      <c r="L75" s="367"/>
      <c r="M75" s="1116"/>
      <c r="N75" s="367"/>
      <c r="O75" s="553"/>
      <c r="P75" s="367"/>
      <c r="Q75" s="553"/>
      <c r="R75" s="367"/>
      <c r="S75" s="553"/>
      <c r="T75" s="367"/>
      <c r="U75" s="553"/>
      <c r="V75" s="367"/>
      <c r="W75" s="553"/>
      <c r="X75" s="367"/>
      <c r="Y75" s="553"/>
      <c r="Z75" s="367"/>
      <c r="AA75" s="264"/>
      <c r="AB75" s="524"/>
      <c r="AC75" s="531">
        <v>5.4</v>
      </c>
      <c r="AD75" s="287"/>
      <c r="AE75" s="1763"/>
      <c r="AF75" s="531">
        <v>4.9000000000000004</v>
      </c>
      <c r="AG75" s="519"/>
      <c r="AH75" s="264"/>
      <c r="AI75" s="264">
        <f t="shared" si="6"/>
        <v>0.5</v>
      </c>
      <c r="AJ75" s="264"/>
      <c r="AK75" s="607">
        <f>_xlfn.SINGLE(ROUND(IF(AF75=0,0,AI75/ABS(AF75)),3))</f>
        <v>0.10199999999999999</v>
      </c>
      <c r="AL75" s="1526"/>
    </row>
    <row r="76" spans="1:38" ht="15" customHeight="1">
      <c r="A76" s="35"/>
      <c r="B76" s="350" t="s">
        <v>1415</v>
      </c>
      <c r="C76" s="291"/>
      <c r="D76" s="367">
        <v>21.8</v>
      </c>
      <c r="E76" s="264"/>
      <c r="F76" s="367">
        <v>0.80000000000000071</v>
      </c>
      <c r="G76" s="367"/>
      <c r="H76" s="367">
        <f t="shared" si="3"/>
        <v>2.1999999999999993</v>
      </c>
      <c r="I76" s="264"/>
      <c r="J76" s="367"/>
      <c r="K76" s="553"/>
      <c r="L76" s="367"/>
      <c r="M76" s="1116"/>
      <c r="N76" s="367"/>
      <c r="O76" s="553"/>
      <c r="P76" s="367"/>
      <c r="Q76" s="553"/>
      <c r="R76" s="367"/>
      <c r="S76" s="553"/>
      <c r="T76" s="367"/>
      <c r="U76" s="553"/>
      <c r="V76" s="367"/>
      <c r="W76" s="553"/>
      <c r="X76" s="367"/>
      <c r="Y76" s="553"/>
      <c r="Z76" s="367"/>
      <c r="AA76" s="264"/>
      <c r="AB76" s="524"/>
      <c r="AC76" s="531">
        <v>24.8</v>
      </c>
      <c r="AD76" s="287"/>
      <c r="AE76" s="1763"/>
      <c r="AF76" s="531">
        <v>17.3</v>
      </c>
      <c r="AG76" s="519"/>
      <c r="AH76" s="264"/>
      <c r="AI76" s="264">
        <f t="shared" si="6"/>
        <v>7.5</v>
      </c>
      <c r="AJ76" s="264"/>
      <c r="AK76" s="607">
        <f>_xlfn.SINGLE(ROUND(IF(AF76=0,1,AI76/ABS(AF76)),3))</f>
        <v>0.434</v>
      </c>
      <c r="AL76" s="1526"/>
    </row>
    <row r="77" spans="1:38" ht="15" customHeight="1">
      <c r="A77" s="35"/>
      <c r="B77" s="350" t="s">
        <v>1441</v>
      </c>
      <c r="C77" s="291"/>
      <c r="D77" s="367">
        <v>1</v>
      </c>
      <c r="E77" s="264"/>
      <c r="F77" s="367">
        <v>1.1000000000000001</v>
      </c>
      <c r="G77" s="367"/>
      <c r="H77" s="367">
        <f t="shared" si="3"/>
        <v>1</v>
      </c>
      <c r="I77" s="264"/>
      <c r="J77" s="367"/>
      <c r="K77" s="553"/>
      <c r="L77" s="367"/>
      <c r="M77" s="1116"/>
      <c r="N77" s="367"/>
      <c r="O77" s="553"/>
      <c r="P77" s="367"/>
      <c r="Q77" s="553"/>
      <c r="R77" s="367"/>
      <c r="S77" s="553"/>
      <c r="T77" s="367"/>
      <c r="U77" s="553"/>
      <c r="V77" s="367"/>
      <c r="W77" s="553"/>
      <c r="X77" s="367"/>
      <c r="Y77" s="553"/>
      <c r="Z77" s="367"/>
      <c r="AA77" s="264"/>
      <c r="AB77" s="524"/>
      <c r="AC77" s="531">
        <v>3.1</v>
      </c>
      <c r="AD77" s="287"/>
      <c r="AE77" s="1763"/>
      <c r="AF77" s="531">
        <v>3.5</v>
      </c>
      <c r="AG77" s="519"/>
      <c r="AH77" s="264"/>
      <c r="AI77" s="264">
        <f t="shared" si="6"/>
        <v>-0.4</v>
      </c>
      <c r="AJ77" s="264"/>
      <c r="AK77" s="283">
        <f>_xlfn.SINGLE(ROUND(IF(AF77=0,0,AI77/ABS(AF77)),3))</f>
        <v>-0.114</v>
      </c>
      <c r="AL77" s="1526"/>
    </row>
    <row r="78" spans="1:38" ht="15" customHeight="1">
      <c r="A78" s="35"/>
      <c r="B78" s="350" t="s">
        <v>1435</v>
      </c>
      <c r="C78" s="291"/>
      <c r="D78" s="367">
        <v>29.6</v>
      </c>
      <c r="E78" s="264"/>
      <c r="F78" s="367">
        <v>80.5</v>
      </c>
      <c r="G78" s="367"/>
      <c r="H78" s="367">
        <f t="shared" si="3"/>
        <v>45.999999999999993</v>
      </c>
      <c r="I78" s="264"/>
      <c r="J78" s="367"/>
      <c r="K78" s="553"/>
      <c r="L78" s="367"/>
      <c r="M78" s="1116"/>
      <c r="N78" s="367"/>
      <c r="O78" s="553"/>
      <c r="P78" s="367"/>
      <c r="Q78" s="553"/>
      <c r="R78" s="367"/>
      <c r="S78" s="553"/>
      <c r="T78" s="367"/>
      <c r="U78" s="553"/>
      <c r="V78" s="367"/>
      <c r="W78" s="553"/>
      <c r="X78" s="367"/>
      <c r="Y78" s="553"/>
      <c r="Z78" s="367"/>
      <c r="AA78" s="264"/>
      <c r="AB78" s="523"/>
      <c r="AC78" s="531">
        <v>156.1</v>
      </c>
      <c r="AD78" s="264"/>
      <c r="AE78" s="524"/>
      <c r="AF78" s="531">
        <v>170.9</v>
      </c>
      <c r="AG78" s="519"/>
      <c r="AH78" s="264"/>
      <c r="AI78" s="264">
        <f t="shared" si="6"/>
        <v>-14.8</v>
      </c>
      <c r="AJ78" s="264"/>
      <c r="AK78" s="607">
        <f>_xlfn.SINGLE(ROUND(IF(AF78=0,0,AI78/ABS(AF78)),3))</f>
        <v>-8.6999999999999994E-2</v>
      </c>
      <c r="AL78" s="1526"/>
    </row>
    <row r="79" spans="1:38" ht="15" customHeight="1">
      <c r="A79" s="35"/>
      <c r="B79" s="350" t="s">
        <v>424</v>
      </c>
      <c r="C79" s="291"/>
      <c r="D79" s="367">
        <v>1.3</v>
      </c>
      <c r="E79" s="264"/>
      <c r="F79" s="367">
        <v>1.3</v>
      </c>
      <c r="G79" s="367"/>
      <c r="H79" s="367">
        <f t="shared" si="3"/>
        <v>1.2999999999999996</v>
      </c>
      <c r="I79" s="264"/>
      <c r="J79" s="367"/>
      <c r="K79" s="553"/>
      <c r="L79" s="367"/>
      <c r="M79" s="1116"/>
      <c r="N79" s="367"/>
      <c r="O79" s="553"/>
      <c r="P79" s="367"/>
      <c r="Q79" s="553"/>
      <c r="R79" s="367"/>
      <c r="S79" s="553"/>
      <c r="T79" s="367"/>
      <c r="U79" s="553"/>
      <c r="V79" s="367"/>
      <c r="W79" s="553"/>
      <c r="X79" s="367"/>
      <c r="Y79" s="553"/>
      <c r="Z79" s="367"/>
      <c r="AA79" s="264"/>
      <c r="AB79" s="523"/>
      <c r="AC79" s="531">
        <v>3.9</v>
      </c>
      <c r="AD79" s="264"/>
      <c r="AE79" s="524"/>
      <c r="AF79" s="531">
        <v>4.7</v>
      </c>
      <c r="AG79" s="519"/>
      <c r="AH79" s="264"/>
      <c r="AI79" s="264">
        <f t="shared" si="6"/>
        <v>-0.8</v>
      </c>
      <c r="AJ79" s="264"/>
      <c r="AK79" s="283">
        <f>_xlfn.SINGLE(ROUND(IF(AF79=0,0,AI79/ABS(AF79)),3))</f>
        <v>-0.17</v>
      </c>
      <c r="AL79" s="1526"/>
    </row>
    <row r="80" spans="1:38" ht="15" customHeight="1">
      <c r="A80" s="35"/>
      <c r="B80" s="350" t="s">
        <v>1416</v>
      </c>
      <c r="C80" s="291"/>
      <c r="D80" s="367">
        <v>36.4</v>
      </c>
      <c r="E80" s="264"/>
      <c r="F80" s="367">
        <v>41.000000000000007</v>
      </c>
      <c r="G80" s="367"/>
      <c r="H80" s="367">
        <f t="shared" si="3"/>
        <v>26.700000000000003</v>
      </c>
      <c r="I80" s="264"/>
      <c r="J80" s="367"/>
      <c r="K80" s="553"/>
      <c r="L80" s="367"/>
      <c r="M80" s="1116"/>
      <c r="N80" s="367"/>
      <c r="O80" s="553"/>
      <c r="P80" s="367"/>
      <c r="Q80" s="553"/>
      <c r="R80" s="367"/>
      <c r="S80" s="553"/>
      <c r="T80" s="367"/>
      <c r="U80" s="553"/>
      <c r="V80" s="367"/>
      <c r="W80" s="553"/>
      <c r="X80" s="367"/>
      <c r="Y80" s="553"/>
      <c r="Z80" s="367"/>
      <c r="AA80" s="264"/>
      <c r="AB80" s="524"/>
      <c r="AC80" s="531">
        <v>104.10000000000001</v>
      </c>
      <c r="AD80" s="287"/>
      <c r="AE80" s="1763"/>
      <c r="AF80" s="531">
        <v>114.5</v>
      </c>
      <c r="AG80" s="519"/>
      <c r="AH80" s="264"/>
      <c r="AI80" s="264">
        <f t="shared" si="6"/>
        <v>-10.4</v>
      </c>
      <c r="AJ80" s="264"/>
      <c r="AK80" s="283">
        <f>_xlfn.SINGLE(ROUND(IF(AF80=0,0,AI80/ABS(AF80)),3))</f>
        <v>-9.0999999999999998E-2</v>
      </c>
      <c r="AL80" s="1526"/>
    </row>
    <row r="81" spans="1:38" ht="15" customHeight="1">
      <c r="A81" s="35"/>
      <c r="B81" s="83" t="s">
        <v>526</v>
      </c>
      <c r="C81" s="291"/>
      <c r="D81" s="673">
        <f>_xlfn.SINGLE(ROUND(SUM(D42:D80),1))</f>
        <v>2052.1999999999998</v>
      </c>
      <c r="E81" s="264"/>
      <c r="F81" s="673">
        <f>_xlfn.SINGLE(ROUND(SUM(F42:F80),1))</f>
        <v>2920.8</v>
      </c>
      <c r="G81" s="264"/>
      <c r="H81" s="673">
        <f>_xlfn.SINGLE(ROUND(SUM(H42:H80),1))</f>
        <v>1966.2</v>
      </c>
      <c r="I81" s="264"/>
      <c r="J81" s="673">
        <f>_xlfn.SINGLE(ROUND(SUM(J42:J80),1))</f>
        <v>0</v>
      </c>
      <c r="K81" s="264"/>
      <c r="L81" s="673">
        <f>_xlfn.SINGLE(ROUND(SUM(L42:L80),1))</f>
        <v>0</v>
      </c>
      <c r="M81" s="264"/>
      <c r="N81" s="673">
        <f>_xlfn.SINGLE(ROUND(SUM(N42:N80),1))</f>
        <v>0</v>
      </c>
      <c r="O81" s="264"/>
      <c r="P81" s="673">
        <f>_xlfn.SINGLE(ROUND(SUM(P42:P80),1))</f>
        <v>0</v>
      </c>
      <c r="Q81" s="264"/>
      <c r="R81" s="673">
        <f>_xlfn.SINGLE(ROUND(SUM(R42:R80),1))</f>
        <v>0</v>
      </c>
      <c r="S81" s="13"/>
      <c r="T81" s="673">
        <f>_xlfn.SINGLE(ROUND(SUM(T42:T80),1))</f>
        <v>0</v>
      </c>
      <c r="U81" s="264"/>
      <c r="V81" s="673">
        <f>_xlfn.SINGLE(ROUND(SUM(V42:V80),1))</f>
        <v>0</v>
      </c>
      <c r="W81" s="264"/>
      <c r="X81" s="673">
        <f>_xlfn.SINGLE(ROUND(SUM(X42:X80),1))</f>
        <v>0</v>
      </c>
      <c r="Y81" s="264"/>
      <c r="Z81" s="673">
        <f>_xlfn.SINGLE(ROUND(SUM(Z42:Z80),1))</f>
        <v>0</v>
      </c>
      <c r="AA81" s="264"/>
      <c r="AB81" s="523"/>
      <c r="AC81" s="673">
        <f>ROUND(SUM(AC42:AC80),1)</f>
        <v>6939.2</v>
      </c>
      <c r="AD81" s="264"/>
      <c r="AE81" s="524"/>
      <c r="AF81" s="673">
        <f>ROUND(SUM(AF42:AF80),1)</f>
        <v>5479.7</v>
      </c>
      <c r="AG81" s="519"/>
      <c r="AH81" s="264"/>
      <c r="AI81" s="673">
        <f>_xlfn.SINGLE(ROUND(SUM(AI42:AI80),1))</f>
        <v>1459.5</v>
      </c>
      <c r="AJ81" s="264"/>
      <c r="AK81" s="923">
        <f>_xlfn.SINGLE(ROUND(SUM(+AI81/AF81),3))</f>
        <v>0.26600000000000001</v>
      </c>
      <c r="AL81" s="1526"/>
    </row>
    <row r="82" spans="1:38" ht="15" customHeight="1">
      <c r="A82" s="35"/>
      <c r="B82" s="83"/>
      <c r="C82" s="291"/>
      <c r="D82" s="13"/>
      <c r="E82" s="264"/>
      <c r="F82" s="13"/>
      <c r="G82" s="264"/>
      <c r="H82" s="13"/>
      <c r="I82" s="264"/>
      <c r="J82" s="13"/>
      <c r="K82" s="264"/>
      <c r="L82" s="13"/>
      <c r="M82" s="264"/>
      <c r="N82" s="13"/>
      <c r="O82" s="264"/>
      <c r="P82" s="13"/>
      <c r="Q82" s="264"/>
      <c r="R82" s="13"/>
      <c r="S82" s="264"/>
      <c r="T82" s="13"/>
      <c r="U82" s="264"/>
      <c r="V82" s="13"/>
      <c r="W82" s="264"/>
      <c r="X82" s="367"/>
      <c r="Y82" s="264"/>
      <c r="Z82" s="13"/>
      <c r="AA82" s="264"/>
      <c r="AB82" s="523"/>
      <c r="AC82" s="13"/>
      <c r="AD82" s="264"/>
      <c r="AE82" s="524"/>
      <c r="AF82" s="13"/>
      <c r="AG82" s="519"/>
      <c r="AH82" s="264"/>
      <c r="AI82" s="13"/>
      <c r="AJ82" s="264"/>
      <c r="AK82" s="74"/>
      <c r="AL82" s="1526"/>
    </row>
    <row r="83" spans="1:38" ht="15" customHeight="1">
      <c r="A83" s="35"/>
      <c r="B83" s="1035" t="s">
        <v>543</v>
      </c>
      <c r="C83" s="291"/>
      <c r="D83" s="367">
        <v>0.1</v>
      </c>
      <c r="E83" s="264"/>
      <c r="F83" s="367">
        <v>0.1</v>
      </c>
      <c r="G83" s="367"/>
      <c r="H83" s="367">
        <f>$AC83-F83-D83</f>
        <v>0</v>
      </c>
      <c r="I83" s="264"/>
      <c r="J83" s="367"/>
      <c r="K83" s="553"/>
      <c r="L83" s="367"/>
      <c r="M83" s="553"/>
      <c r="N83" s="367"/>
      <c r="O83" s="553"/>
      <c r="P83" s="367"/>
      <c r="Q83" s="553"/>
      <c r="R83" s="367"/>
      <c r="S83" s="553"/>
      <c r="T83" s="367"/>
      <c r="U83" s="553"/>
      <c r="V83" s="367"/>
      <c r="W83" s="553"/>
      <c r="X83" s="885"/>
      <c r="Y83" s="553"/>
      <c r="Z83" s="367"/>
      <c r="AA83" s="264"/>
      <c r="AB83" s="524"/>
      <c r="AC83" s="531">
        <v>0.2</v>
      </c>
      <c r="AD83" s="287"/>
      <c r="AE83" s="1763"/>
      <c r="AF83" s="531">
        <v>0</v>
      </c>
      <c r="AG83" s="519"/>
      <c r="AH83" s="264"/>
      <c r="AI83" s="264">
        <f>_xlfn.SINGLE(ROUND(SUM(+AC83-AF83),1))</f>
        <v>0.2</v>
      </c>
      <c r="AJ83" s="264"/>
      <c r="AK83" s="542">
        <f>ROUND(IF(AF83=0,1,AI83/ABS(AF83)),3)</f>
        <v>1</v>
      </c>
      <c r="AL83" s="1526"/>
    </row>
    <row r="84" spans="1:38" ht="15" customHeight="1">
      <c r="A84" s="35"/>
      <c r="B84" s="291"/>
      <c r="C84" s="291"/>
      <c r="D84" s="615"/>
      <c r="E84" s="264"/>
      <c r="F84" s="615"/>
      <c r="G84" s="264"/>
      <c r="H84" s="615"/>
      <c r="I84" s="264"/>
      <c r="J84" s="615"/>
      <c r="K84" s="264"/>
      <c r="L84" s="615"/>
      <c r="M84" s="264"/>
      <c r="N84" s="615"/>
      <c r="O84" s="264"/>
      <c r="P84" s="615"/>
      <c r="Q84" s="264"/>
      <c r="R84" s="615"/>
      <c r="S84" s="264"/>
      <c r="T84" s="615"/>
      <c r="U84" s="264"/>
      <c r="V84" s="615"/>
      <c r="W84" s="264"/>
      <c r="X84" s="367"/>
      <c r="Y84" s="264"/>
      <c r="Z84" s="615"/>
      <c r="AA84" s="264"/>
      <c r="AB84" s="523"/>
      <c r="AC84" s="615"/>
      <c r="AD84" s="264"/>
      <c r="AE84" s="524"/>
      <c r="AF84" s="615"/>
      <c r="AG84" s="519"/>
      <c r="AH84" s="264"/>
      <c r="AI84" s="1036"/>
      <c r="AJ84" s="364"/>
      <c r="AK84" s="1037"/>
      <c r="AL84" s="1526"/>
    </row>
    <row r="85" spans="1:38" ht="15" customHeight="1">
      <c r="A85" s="35"/>
      <c r="B85" s="3" t="s">
        <v>427</v>
      </c>
      <c r="C85" s="291"/>
      <c r="D85" s="13">
        <f>_xlfn.SINGLE(ROUND(SUM(D38+D81+D83),1))</f>
        <v>2624.6</v>
      </c>
      <c r="E85" s="13"/>
      <c r="F85" s="13">
        <f>_xlfn.SINGLE(ROUND(SUM(F38+F81+F83),1))</f>
        <v>3214.9</v>
      </c>
      <c r="G85" s="13"/>
      <c r="H85" s="13">
        <f>_xlfn.SINGLE(ROUND(SUM(H38+H81+H83),1))</f>
        <v>2803.5</v>
      </c>
      <c r="I85" s="13"/>
      <c r="J85" s="13">
        <f>_xlfn.SINGLE(ROUND(SUM(J38+J81+J83),1))</f>
        <v>0</v>
      </c>
      <c r="K85" s="13"/>
      <c r="L85" s="13">
        <f>_xlfn.SINGLE(ROUND(SUM(L38+L81+L83),1))</f>
        <v>0</v>
      </c>
      <c r="M85" s="13"/>
      <c r="N85" s="13">
        <f>_xlfn.SINGLE(ROUND(SUM(N38+N81+N83),1))</f>
        <v>0</v>
      </c>
      <c r="O85" s="13"/>
      <c r="P85" s="13">
        <f>_xlfn.SINGLE(ROUND(SUM(P38+P81+P83),1))</f>
        <v>0</v>
      </c>
      <c r="Q85" s="13"/>
      <c r="R85" s="13">
        <f>_xlfn.SINGLE(ROUND(SUM(R38+R81+R83),1))</f>
        <v>0</v>
      </c>
      <c r="S85" s="13"/>
      <c r="T85" s="13">
        <f>_xlfn.SINGLE(ROUND(SUM(T38+T81+T83),1))</f>
        <v>0</v>
      </c>
      <c r="U85" s="13"/>
      <c r="V85" s="13">
        <f>_xlfn.SINGLE(ROUND(SUM(V38+V81+V83),1))</f>
        <v>0</v>
      </c>
      <c r="W85" s="13"/>
      <c r="X85" s="357">
        <f>_xlfn.SINGLE(ROUND(SUM(X38+X81+X83),1))</f>
        <v>0</v>
      </c>
      <c r="Y85" s="13"/>
      <c r="Z85" s="13">
        <f>_xlfn.SINGLE(ROUND(SUM(Z38+Z81+Z83),1))</f>
        <v>0</v>
      </c>
      <c r="AA85" s="13"/>
      <c r="AB85" s="14"/>
      <c r="AC85" s="13">
        <f>ROUND(SUM(AC38+AC81+AC83),1)</f>
        <v>8643</v>
      </c>
      <c r="AD85" s="13"/>
      <c r="AE85" s="669"/>
      <c r="AF85" s="13">
        <f>ROUND(SUM(AF38+AF81+AF83),1)</f>
        <v>6884</v>
      </c>
      <c r="AG85" s="75"/>
      <c r="AH85" s="13"/>
      <c r="AI85" s="357">
        <f>_xlfn.SINGLE(ROUND(SUM(AI38+AI81+AI83),1))</f>
        <v>1759</v>
      </c>
      <c r="AJ85" s="76"/>
      <c r="AK85" s="368">
        <f>_xlfn.SINGLE(ROUND(SUM((AC85-AF85)/ABS(AF85)),3))</f>
        <v>0.25600000000000001</v>
      </c>
      <c r="AL85" s="1526"/>
    </row>
    <row r="86" spans="1:38" ht="15" customHeight="1">
      <c r="A86" s="35"/>
      <c r="B86" s="291"/>
      <c r="C86" s="291"/>
      <c r="D86" s="615"/>
      <c r="E86" s="264"/>
      <c r="F86" s="615"/>
      <c r="G86" s="264"/>
      <c r="H86" s="615"/>
      <c r="I86" s="264"/>
      <c r="J86" s="615"/>
      <c r="K86" s="264"/>
      <c r="L86" s="615"/>
      <c r="M86" s="264"/>
      <c r="N86" s="615"/>
      <c r="O86" s="264"/>
      <c r="P86" s="615"/>
      <c r="Q86" s="264"/>
      <c r="R86" s="615"/>
      <c r="S86" s="264"/>
      <c r="T86" s="615"/>
      <c r="U86" s="264"/>
      <c r="V86" s="615"/>
      <c r="W86" s="264"/>
      <c r="X86" s="367"/>
      <c r="Y86" s="264"/>
      <c r="Z86" s="615"/>
      <c r="AA86" s="264"/>
      <c r="AB86" s="523"/>
      <c r="AC86" s="615"/>
      <c r="AD86" s="264"/>
      <c r="AE86" s="524"/>
      <c r="AF86" s="615"/>
      <c r="AG86" s="519"/>
      <c r="AH86" s="264"/>
      <c r="AI86" s="264"/>
      <c r="AJ86" s="364"/>
      <c r="AK86" s="283"/>
      <c r="AL86" s="1526"/>
    </row>
    <row r="87" spans="1:38" ht="15" customHeight="1">
      <c r="A87" s="35"/>
      <c r="B87" s="1216" t="s">
        <v>122</v>
      </c>
      <c r="C87" s="291"/>
      <c r="D87" s="264"/>
      <c r="E87" s="264"/>
      <c r="F87" s="264"/>
      <c r="G87" s="264"/>
      <c r="H87" s="264"/>
      <c r="I87" s="264"/>
      <c r="J87" s="264"/>
      <c r="K87" s="264"/>
      <c r="L87" s="264"/>
      <c r="M87" s="264"/>
      <c r="N87" s="264"/>
      <c r="O87" s="264"/>
      <c r="P87" s="264"/>
      <c r="Q87" s="264"/>
      <c r="R87" s="264"/>
      <c r="S87" s="264"/>
      <c r="T87" s="264"/>
      <c r="U87" s="264"/>
      <c r="V87" s="264"/>
      <c r="W87" s="264"/>
      <c r="X87" s="367"/>
      <c r="Y87" s="264"/>
      <c r="Z87" s="264"/>
      <c r="AA87" s="264"/>
      <c r="AB87" s="523"/>
      <c r="AC87" s="264"/>
      <c r="AD87" s="264"/>
      <c r="AE87" s="524"/>
      <c r="AF87" s="264"/>
      <c r="AG87" s="519"/>
      <c r="AH87" s="264"/>
      <c r="AI87" s="264"/>
      <c r="AJ87" s="364"/>
      <c r="AK87" s="283"/>
      <c r="AL87" s="1526"/>
    </row>
    <row r="88" spans="1:38" ht="15" customHeight="1">
      <c r="A88" s="35"/>
      <c r="B88" s="291" t="s">
        <v>451</v>
      </c>
      <c r="C88" s="291"/>
      <c r="D88" s="287"/>
      <c r="E88" s="264"/>
      <c r="F88" s="287"/>
      <c r="G88" s="264"/>
      <c r="H88" s="264"/>
      <c r="I88" s="264"/>
      <c r="J88" s="367"/>
      <c r="K88" s="264"/>
      <c r="L88" s="287"/>
      <c r="M88" s="264"/>
      <c r="N88" s="287"/>
      <c r="O88" s="264"/>
      <c r="P88" s="287"/>
      <c r="Q88" s="264"/>
      <c r="R88" s="287"/>
      <c r="S88" s="264"/>
      <c r="T88" s="287"/>
      <c r="U88" s="264"/>
      <c r="V88" s="264"/>
      <c r="W88" s="264"/>
      <c r="X88" s="367"/>
      <c r="Y88" s="264"/>
      <c r="Z88" s="264"/>
      <c r="AA88" s="264"/>
      <c r="AB88" s="523"/>
      <c r="AC88" s="275"/>
      <c r="AD88" s="264"/>
      <c r="AE88" s="524"/>
      <c r="AF88" s="275"/>
      <c r="AG88" s="519"/>
      <c r="AH88" s="264"/>
      <c r="AI88" s="264"/>
      <c r="AJ88" s="364"/>
      <c r="AK88" s="283"/>
      <c r="AL88" s="1526"/>
    </row>
    <row r="89" spans="1:38" ht="15" customHeight="1">
      <c r="A89" s="35"/>
      <c r="B89" s="384" t="s">
        <v>124</v>
      </c>
      <c r="C89" s="291"/>
      <c r="D89" s="367">
        <v>0.8</v>
      </c>
      <c r="E89" s="264"/>
      <c r="F89" s="367">
        <v>4.9000000000000004</v>
      </c>
      <c r="G89" s="367"/>
      <c r="H89" s="367">
        <f>$AC89-F89-D89</f>
        <v>277.90000000000003</v>
      </c>
      <c r="I89" s="264"/>
      <c r="J89" s="367"/>
      <c r="K89" s="553"/>
      <c r="L89" s="367"/>
      <c r="M89" s="553"/>
      <c r="N89" s="367"/>
      <c r="O89" s="553"/>
      <c r="P89" s="367"/>
      <c r="Q89" s="553"/>
      <c r="R89" s="367"/>
      <c r="S89" s="553"/>
      <c r="T89" s="367"/>
      <c r="U89" s="553"/>
      <c r="V89" s="367"/>
      <c r="W89" s="553"/>
      <c r="X89" s="367"/>
      <c r="Y89" s="553"/>
      <c r="Z89" s="367"/>
      <c r="AA89" s="264"/>
      <c r="AB89" s="524"/>
      <c r="AC89" s="531">
        <v>283.60000000000002</v>
      </c>
      <c r="AD89" s="287"/>
      <c r="AE89" s="1763"/>
      <c r="AF89" s="531">
        <v>285.7</v>
      </c>
      <c r="AG89" s="519"/>
      <c r="AH89" s="264"/>
      <c r="AI89" s="264">
        <f>_xlfn.SINGLE(ROUND(SUM(+AC89-AF89),1))</f>
        <v>-2.1</v>
      </c>
      <c r="AJ89" s="264"/>
      <c r="AK89" s="542">
        <f>_xlfn.SINGLE(ROUND(IF(AF89=0,1,AI89/ABS(AF89)),3))</f>
        <v>-7.0000000000000001E-3</v>
      </c>
      <c r="AL89" s="1526"/>
    </row>
    <row r="90" spans="1:38" ht="15" customHeight="1">
      <c r="A90" s="35"/>
      <c r="B90" s="384" t="s">
        <v>1418</v>
      </c>
      <c r="C90" s="291"/>
      <c r="D90" s="367">
        <v>0</v>
      </c>
      <c r="E90" s="264"/>
      <c r="F90" s="367">
        <v>0.1</v>
      </c>
      <c r="G90" s="367"/>
      <c r="H90" s="367">
        <f t="shared" ref="H90:H98" si="7">$AC90-F90-D90</f>
        <v>0.19999999999999998</v>
      </c>
      <c r="I90" s="264"/>
      <c r="J90" s="367"/>
      <c r="K90" s="553"/>
      <c r="L90" s="367"/>
      <c r="M90" s="553"/>
      <c r="N90" s="367"/>
      <c r="O90" s="553"/>
      <c r="P90" s="367"/>
      <c r="Q90" s="553"/>
      <c r="R90" s="367"/>
      <c r="S90" s="553"/>
      <c r="T90" s="367"/>
      <c r="U90" s="553"/>
      <c r="V90" s="367"/>
      <c r="W90" s="553"/>
      <c r="X90" s="367"/>
      <c r="Y90" s="553"/>
      <c r="Z90" s="367"/>
      <c r="AA90" s="264"/>
      <c r="AB90" s="524"/>
      <c r="AC90" s="531">
        <v>0.3</v>
      </c>
      <c r="AD90" s="287"/>
      <c r="AE90" s="1763"/>
      <c r="AF90" s="531">
        <v>0.2</v>
      </c>
      <c r="AG90" s="519"/>
      <c r="AH90" s="264"/>
      <c r="AI90" s="264">
        <f>_xlfn.SINGLE(ROUND(SUM(+AC90-AF90),1))</f>
        <v>0.1</v>
      </c>
      <c r="AJ90" s="264"/>
      <c r="AK90" s="283">
        <f>ROUND(IF(AF90=0,1,AI90/ABS(AF90)),3)</f>
        <v>0.5</v>
      </c>
      <c r="AL90" s="1526"/>
    </row>
    <row r="91" spans="1:38" ht="15" customHeight="1">
      <c r="A91" s="35"/>
      <c r="B91" s="384" t="s">
        <v>1417</v>
      </c>
      <c r="C91" s="291"/>
      <c r="D91" s="367">
        <v>16.8</v>
      </c>
      <c r="E91" s="264"/>
      <c r="F91" s="367">
        <v>38.200000000000003</v>
      </c>
      <c r="G91" s="367"/>
      <c r="H91" s="367">
        <f t="shared" si="7"/>
        <v>44</v>
      </c>
      <c r="I91" s="264"/>
      <c r="J91" s="367"/>
      <c r="K91" s="553"/>
      <c r="L91" s="367"/>
      <c r="M91" s="553"/>
      <c r="N91" s="367"/>
      <c r="O91" s="553"/>
      <c r="P91" s="367"/>
      <c r="Q91" s="553"/>
      <c r="R91" s="367"/>
      <c r="S91" s="553"/>
      <c r="T91" s="367"/>
      <c r="U91" s="553"/>
      <c r="V91" s="367"/>
      <c r="W91" s="553"/>
      <c r="X91" s="367"/>
      <c r="Y91" s="553"/>
      <c r="Z91" s="367"/>
      <c r="AA91" s="264"/>
      <c r="AB91" s="524"/>
      <c r="AC91" s="531">
        <v>99</v>
      </c>
      <c r="AD91" s="287"/>
      <c r="AE91" s="1763"/>
      <c r="AF91" s="531">
        <v>56.1</v>
      </c>
      <c r="AG91" s="519"/>
      <c r="AH91" s="264"/>
      <c r="AI91" s="264">
        <f>_xlfn.SINGLE(ROUND(SUM(+AC91-AF91),1))</f>
        <v>42.9</v>
      </c>
      <c r="AJ91" s="264"/>
      <c r="AK91" s="607">
        <f>_xlfn.SINGLE(ROUND(IF(AF91=0,0,AI91/ABS(AF91)),3))</f>
        <v>0.76500000000000001</v>
      </c>
      <c r="AL91" s="1526"/>
    </row>
    <row r="92" spans="1:38" ht="15" customHeight="1">
      <c r="A92" s="35"/>
      <c r="B92" s="291" t="s">
        <v>527</v>
      </c>
      <c r="C92" s="291"/>
      <c r="D92" s="367"/>
      <c r="E92" s="264"/>
      <c r="F92" s="367"/>
      <c r="G92" s="367"/>
      <c r="H92" s="367"/>
      <c r="I92" s="264"/>
      <c r="J92" s="367"/>
      <c r="K92" s="553"/>
      <c r="L92" s="367"/>
      <c r="M92" s="553"/>
      <c r="N92" s="367"/>
      <c r="O92" s="553"/>
      <c r="P92" s="367"/>
      <c r="Q92" s="553"/>
      <c r="R92" s="367"/>
      <c r="S92" s="553"/>
      <c r="T92" s="367"/>
      <c r="U92" s="553"/>
      <c r="V92" s="367"/>
      <c r="W92" s="553"/>
      <c r="X92" s="367"/>
      <c r="Y92" s="553"/>
      <c r="Z92" s="367"/>
      <c r="AA92" s="264"/>
      <c r="AB92" s="524"/>
      <c r="AC92" s="512"/>
      <c r="AD92" s="287"/>
      <c r="AE92" s="1763"/>
      <c r="AF92" s="512"/>
      <c r="AG92" s="519"/>
      <c r="AH92" s="264"/>
      <c r="AI92" s="264"/>
      <c r="AJ92" s="268"/>
      <c r="AK92" s="283"/>
      <c r="AL92" s="1526"/>
    </row>
    <row r="93" spans="1:38" ht="15" customHeight="1">
      <c r="A93" s="35"/>
      <c r="B93" s="1027" t="s">
        <v>128</v>
      </c>
      <c r="C93" s="291"/>
      <c r="D93" s="367">
        <v>443.40000000000003</v>
      </c>
      <c r="E93" s="264"/>
      <c r="F93" s="367">
        <v>389.89999999999992</v>
      </c>
      <c r="G93" s="367"/>
      <c r="H93" s="367">
        <f t="shared" si="7"/>
        <v>490.00000000000006</v>
      </c>
      <c r="I93" s="264"/>
      <c r="J93" s="367"/>
      <c r="K93" s="553"/>
      <c r="L93" s="367"/>
      <c r="M93" s="553"/>
      <c r="N93" s="367"/>
      <c r="O93" s="553"/>
      <c r="P93" s="367"/>
      <c r="Q93" s="553"/>
      <c r="R93" s="367"/>
      <c r="S93" s="553"/>
      <c r="T93" s="367"/>
      <c r="U93" s="553"/>
      <c r="V93" s="367"/>
      <c r="W93" s="553"/>
      <c r="X93" s="367"/>
      <c r="Y93" s="553"/>
      <c r="Z93" s="367"/>
      <c r="AA93" s="264"/>
      <c r="AB93" s="524"/>
      <c r="AC93" s="531">
        <v>1323.3</v>
      </c>
      <c r="AD93" s="287"/>
      <c r="AE93" s="1763"/>
      <c r="AF93" s="531">
        <v>1238.1999999999998</v>
      </c>
      <c r="AG93" s="519"/>
      <c r="AH93" s="264"/>
      <c r="AI93" s="264">
        <f t="shared" ref="AI93:AI98" si="8">_xlfn.SINGLE(ROUND(SUM(+AC93-AF93),1))</f>
        <v>85.1</v>
      </c>
      <c r="AJ93" s="264"/>
      <c r="AK93" s="607">
        <f>_xlfn.SINGLE(ROUND(IF(AF93=0,0,AI93/ABS(AF93)),3))</f>
        <v>6.9000000000000006E-2</v>
      </c>
      <c r="AL93" s="1526"/>
    </row>
    <row r="94" spans="1:38" ht="15" customHeight="1">
      <c r="A94" s="35"/>
      <c r="B94" s="384" t="s">
        <v>129</v>
      </c>
      <c r="C94" s="291"/>
      <c r="D94" s="367">
        <v>79.900000000000006</v>
      </c>
      <c r="E94" s="264"/>
      <c r="F94" s="367">
        <v>82.299999999999983</v>
      </c>
      <c r="G94" s="367"/>
      <c r="H94" s="367">
        <f t="shared" si="7"/>
        <v>357.80000000000007</v>
      </c>
      <c r="I94" s="264"/>
      <c r="J94" s="367"/>
      <c r="K94" s="553"/>
      <c r="L94" s="367"/>
      <c r="M94" s="553"/>
      <c r="N94" s="367"/>
      <c r="O94" s="553"/>
      <c r="P94" s="367"/>
      <c r="Q94" s="553"/>
      <c r="R94" s="367"/>
      <c r="S94" s="553"/>
      <c r="T94" s="367"/>
      <c r="U94" s="553"/>
      <c r="V94" s="367"/>
      <c r="W94" s="553"/>
      <c r="X94" s="367"/>
      <c r="Y94" s="553"/>
      <c r="Z94" s="367"/>
      <c r="AA94" s="264"/>
      <c r="AB94" s="524"/>
      <c r="AC94" s="531">
        <v>520</v>
      </c>
      <c r="AD94" s="287"/>
      <c r="AE94" s="1763"/>
      <c r="AF94" s="531">
        <v>668.3</v>
      </c>
      <c r="AG94" s="519"/>
      <c r="AH94" s="264"/>
      <c r="AI94" s="264">
        <f t="shared" si="8"/>
        <v>-148.30000000000001</v>
      </c>
      <c r="AJ94" s="264"/>
      <c r="AK94" s="283">
        <f>_xlfn.SINGLE(ROUND(IF(AF94=0,0,AI94/ABS(AF94)),3))</f>
        <v>-0.222</v>
      </c>
      <c r="AL94" s="1526"/>
    </row>
    <row r="95" spans="1:38" ht="15" customHeight="1">
      <c r="A95" s="35"/>
      <c r="B95" s="384" t="s">
        <v>130</v>
      </c>
      <c r="C95" s="291"/>
      <c r="D95" s="367">
        <v>47</v>
      </c>
      <c r="E95" s="264"/>
      <c r="F95" s="367">
        <v>31.799999999999997</v>
      </c>
      <c r="G95" s="367"/>
      <c r="H95" s="367">
        <f t="shared" si="7"/>
        <v>32.5</v>
      </c>
      <c r="I95" s="264"/>
      <c r="J95" s="367"/>
      <c r="K95" s="553"/>
      <c r="L95" s="367"/>
      <c r="M95" s="553"/>
      <c r="N95" s="367"/>
      <c r="O95" s="553"/>
      <c r="P95" s="367"/>
      <c r="Q95" s="553"/>
      <c r="R95" s="367"/>
      <c r="S95" s="553"/>
      <c r="T95" s="367"/>
      <c r="U95" s="553"/>
      <c r="V95" s="367"/>
      <c r="W95" s="553"/>
      <c r="X95" s="367"/>
      <c r="Y95" s="553"/>
      <c r="Z95" s="367"/>
      <c r="AA95" s="264"/>
      <c r="AB95" s="524"/>
      <c r="AC95" s="531">
        <v>111.3</v>
      </c>
      <c r="AD95" s="287"/>
      <c r="AE95" s="1763"/>
      <c r="AF95" s="531">
        <v>104.6</v>
      </c>
      <c r="AG95" s="519"/>
      <c r="AH95" s="264"/>
      <c r="AI95" s="264">
        <f t="shared" si="8"/>
        <v>6.7</v>
      </c>
      <c r="AJ95" s="264"/>
      <c r="AK95" s="283">
        <f>_xlfn.SINGLE(ROUND(IF(AF95=0,0,AI95/ABS(AF95)),3))</f>
        <v>6.4000000000000001E-2</v>
      </c>
      <c r="AL95" s="1526"/>
    </row>
    <row r="96" spans="1:38" ht="15" customHeight="1">
      <c r="A96" s="35"/>
      <c r="B96" s="384" t="s">
        <v>131</v>
      </c>
      <c r="C96" s="291"/>
      <c r="D96" s="367">
        <v>2</v>
      </c>
      <c r="E96" s="264"/>
      <c r="F96" s="367">
        <v>0.39999999999999991</v>
      </c>
      <c r="G96" s="367"/>
      <c r="H96" s="367">
        <f t="shared" si="7"/>
        <v>2.4000000000000004</v>
      </c>
      <c r="I96" s="264"/>
      <c r="J96" s="367"/>
      <c r="K96" s="553"/>
      <c r="L96" s="367"/>
      <c r="M96" s="553"/>
      <c r="N96" s="367"/>
      <c r="O96" s="553"/>
      <c r="P96" s="367"/>
      <c r="Q96" s="553"/>
      <c r="R96" s="367"/>
      <c r="S96" s="553"/>
      <c r="T96" s="367"/>
      <c r="U96" s="553"/>
      <c r="V96" s="367"/>
      <c r="W96" s="553"/>
      <c r="X96" s="367"/>
      <c r="Y96" s="553"/>
      <c r="Z96" s="367"/>
      <c r="AA96" s="264"/>
      <c r="AB96" s="524"/>
      <c r="AC96" s="531">
        <v>4.8</v>
      </c>
      <c r="AD96" s="287"/>
      <c r="AE96" s="1763"/>
      <c r="AF96" s="531">
        <v>10.5</v>
      </c>
      <c r="AG96" s="519"/>
      <c r="AH96" s="264"/>
      <c r="AI96" s="264">
        <f t="shared" si="8"/>
        <v>-5.7</v>
      </c>
      <c r="AJ96" s="264"/>
      <c r="AK96" s="607">
        <f>_xlfn.SINGLE(ROUND(IF(AF96=0,1,AI96/ABS(AF96)),3))</f>
        <v>-0.54300000000000004</v>
      </c>
      <c r="AL96" s="1526"/>
    </row>
    <row r="97" spans="1:38" ht="15" customHeight="1">
      <c r="A97" s="35"/>
      <c r="B97" s="384" t="s">
        <v>132</v>
      </c>
      <c r="C97" s="291"/>
      <c r="D97" s="367">
        <v>0.2</v>
      </c>
      <c r="E97" s="264"/>
      <c r="F97" s="367">
        <v>1.5</v>
      </c>
      <c r="G97" s="367"/>
      <c r="H97" s="367">
        <f t="shared" si="7"/>
        <v>1.9000000000000001</v>
      </c>
      <c r="I97" s="264"/>
      <c r="J97" s="367"/>
      <c r="K97" s="553"/>
      <c r="L97" s="367"/>
      <c r="M97" s="553"/>
      <c r="N97" s="367"/>
      <c r="O97" s="553"/>
      <c r="P97" s="367"/>
      <c r="Q97" s="553"/>
      <c r="R97" s="367"/>
      <c r="S97" s="553"/>
      <c r="T97" s="367"/>
      <c r="U97" s="553"/>
      <c r="V97" s="367"/>
      <c r="W97" s="553"/>
      <c r="X97" s="367"/>
      <c r="Y97" s="553"/>
      <c r="Z97" s="367"/>
      <c r="AA97" s="264"/>
      <c r="AB97" s="524"/>
      <c r="AC97" s="531">
        <v>3.6</v>
      </c>
      <c r="AD97" s="287"/>
      <c r="AE97" s="1763"/>
      <c r="AF97" s="531">
        <v>4.7</v>
      </c>
      <c r="AG97" s="519"/>
      <c r="AH97" s="264"/>
      <c r="AI97" s="264">
        <f t="shared" si="8"/>
        <v>-1.1000000000000001</v>
      </c>
      <c r="AJ97" s="264"/>
      <c r="AK97" s="607">
        <f>_xlfn.SINGLE(ROUND(IF(AF97=0,1,AI97/ABS(AF97)),3))</f>
        <v>-0.23400000000000001</v>
      </c>
      <c r="AL97" s="1526"/>
    </row>
    <row r="98" spans="1:38" ht="15" customHeight="1">
      <c r="A98" s="35"/>
      <c r="B98" s="384" t="s">
        <v>1436</v>
      </c>
      <c r="C98" s="291"/>
      <c r="D98" s="367">
        <v>84.2</v>
      </c>
      <c r="E98" s="264"/>
      <c r="F98" s="367">
        <v>623.79999999999995</v>
      </c>
      <c r="G98" s="367"/>
      <c r="H98" s="367">
        <f t="shared" si="7"/>
        <v>424.3</v>
      </c>
      <c r="I98" s="264"/>
      <c r="J98" s="367"/>
      <c r="K98" s="553"/>
      <c r="L98" s="367"/>
      <c r="M98" s="553"/>
      <c r="N98" s="367"/>
      <c r="O98" s="553"/>
      <c r="P98" s="367"/>
      <c r="Q98" s="553"/>
      <c r="R98" s="367"/>
      <c r="S98" s="553"/>
      <c r="T98" s="367"/>
      <c r="U98" s="553"/>
      <c r="V98" s="367"/>
      <c r="W98" s="553"/>
      <c r="X98" s="367"/>
      <c r="Y98" s="553"/>
      <c r="Z98" s="367"/>
      <c r="AA98" s="264"/>
      <c r="AB98" s="524"/>
      <c r="AC98" s="531">
        <v>1132.3</v>
      </c>
      <c r="AD98" s="287"/>
      <c r="AE98" s="1763"/>
      <c r="AF98" s="531">
        <v>1105.7</v>
      </c>
      <c r="AG98" s="519"/>
      <c r="AH98" s="264"/>
      <c r="AI98" s="264">
        <f t="shared" si="8"/>
        <v>26.6</v>
      </c>
      <c r="AJ98" s="264"/>
      <c r="AK98" s="283">
        <f>_xlfn.SINGLE(ROUND(IF(AF98=0,0,AI98/ABS(AF98)),3))</f>
        <v>2.4E-2</v>
      </c>
      <c r="AL98" s="1526"/>
    </row>
    <row r="99" spans="1:38" ht="15" customHeight="1">
      <c r="A99" s="35"/>
      <c r="B99" s="3" t="s">
        <v>528</v>
      </c>
      <c r="C99" s="291"/>
      <c r="D99" s="616">
        <f>_xlfn.SINGLE(ROUND(SUM(D89:D98),1))</f>
        <v>674.3</v>
      </c>
      <c r="E99" s="13"/>
      <c r="F99" s="616">
        <f>_xlfn.SINGLE(ROUND(SUM(F89:F98),1))</f>
        <v>1172.9000000000001</v>
      </c>
      <c r="G99" s="13"/>
      <c r="H99" s="616">
        <f>_xlfn.SINGLE(ROUND(SUM(H89:H98),1))</f>
        <v>1631</v>
      </c>
      <c r="I99" s="13"/>
      <c r="J99" s="616">
        <f>_xlfn.SINGLE(ROUND(SUM(J89:J98),1))</f>
        <v>0</v>
      </c>
      <c r="K99" s="13"/>
      <c r="L99" s="616">
        <f>_xlfn.SINGLE(ROUND(SUM(L89:L98),1))</f>
        <v>0</v>
      </c>
      <c r="M99" s="13"/>
      <c r="N99" s="616">
        <f>_xlfn.SINGLE(ROUND(SUM(N89:N98),1))</f>
        <v>0</v>
      </c>
      <c r="O99" s="13"/>
      <c r="P99" s="616">
        <f>_xlfn.SINGLE(ROUND(SUM(P89:P98),1))</f>
        <v>0</v>
      </c>
      <c r="Q99" s="13"/>
      <c r="R99" s="616">
        <f>_xlfn.SINGLE(ROUND(SUM(R89:R98),1))</f>
        <v>0</v>
      </c>
      <c r="S99" s="13"/>
      <c r="T99" s="616">
        <f>_xlfn.SINGLE(ROUND(SUM(T89:T98),1))</f>
        <v>0</v>
      </c>
      <c r="U99" s="13"/>
      <c r="V99" s="616">
        <f>_xlfn.SINGLE(ROUND(SUM(V89:V98),1))</f>
        <v>0</v>
      </c>
      <c r="W99" s="13"/>
      <c r="X99" s="616">
        <f>_xlfn.SINGLE(ROUND(SUM(X89:X98),1))</f>
        <v>0</v>
      </c>
      <c r="Y99" s="13"/>
      <c r="Z99" s="616">
        <f>_xlfn.SINGLE(ROUND(SUM(Z89:Z98),1))</f>
        <v>0</v>
      </c>
      <c r="AA99" s="13"/>
      <c r="AB99" s="14"/>
      <c r="AC99" s="673">
        <f>ROUND(SUM(AC89:AC98),1)</f>
        <v>3478.2</v>
      </c>
      <c r="AD99" s="13"/>
      <c r="AE99" s="669"/>
      <c r="AF99" s="673">
        <f>ROUND(SUM(AF89:AF98),1)</f>
        <v>3474</v>
      </c>
      <c r="AG99" s="75"/>
      <c r="AH99" s="13"/>
      <c r="AI99" s="673">
        <f>_xlfn.SINGLE(ROUND(SUM(AC99-AF99),1))</f>
        <v>4.2</v>
      </c>
      <c r="AJ99" s="40"/>
      <c r="AK99" s="923">
        <f>_xlfn.SINGLE(ROUND(SUM((AC99-AF99)/ABS(AF99)),3))</f>
        <v>1E-3</v>
      </c>
      <c r="AL99" s="1526"/>
    </row>
    <row r="100" spans="1:38" ht="15" customHeight="1">
      <c r="A100" s="35"/>
      <c r="B100" s="291" t="s">
        <v>509</v>
      </c>
      <c r="C100" s="291"/>
      <c r="D100" s="264"/>
      <c r="E100" s="264"/>
      <c r="F100" s="264"/>
      <c r="G100" s="264"/>
      <c r="H100" s="264"/>
      <c r="I100" s="264"/>
      <c r="J100" s="264"/>
      <c r="K100" s="264"/>
      <c r="L100" s="264"/>
      <c r="M100" s="264"/>
      <c r="N100" s="264"/>
      <c r="O100" s="264"/>
      <c r="P100" s="264"/>
      <c r="Q100" s="264"/>
      <c r="R100" s="264"/>
      <c r="S100" s="264"/>
      <c r="T100" s="264"/>
      <c r="U100" s="264"/>
      <c r="V100" s="264"/>
      <c r="W100" s="264"/>
      <c r="X100" s="367"/>
      <c r="Y100" s="264"/>
      <c r="Z100" s="264"/>
      <c r="AA100" s="264"/>
      <c r="AB100" s="523"/>
      <c r="AC100" s="264"/>
      <c r="AD100" s="264"/>
      <c r="AE100" s="524"/>
      <c r="AF100" s="264"/>
      <c r="AG100" s="519"/>
      <c r="AH100" s="264"/>
      <c r="AI100" s="264"/>
      <c r="AJ100" s="364"/>
      <c r="AK100" s="283"/>
      <c r="AL100" s="1526"/>
    </row>
    <row r="101" spans="1:38" ht="15" customHeight="1">
      <c r="A101" s="35"/>
      <c r="B101" s="291" t="s">
        <v>454</v>
      </c>
      <c r="C101" s="291"/>
      <c r="D101" s="367">
        <v>555.79999999999995</v>
      </c>
      <c r="E101" s="264"/>
      <c r="F101" s="367">
        <v>516</v>
      </c>
      <c r="G101" s="367"/>
      <c r="H101" s="367">
        <f>$AC101-F101-D101</f>
        <v>477.29999999999995</v>
      </c>
      <c r="I101" s="264"/>
      <c r="J101" s="367"/>
      <c r="K101" s="553"/>
      <c r="L101" s="367"/>
      <c r="M101" s="553"/>
      <c r="N101" s="367"/>
      <c r="O101" s="553"/>
      <c r="P101" s="367"/>
      <c r="Q101" s="553"/>
      <c r="R101" s="367"/>
      <c r="S101" s="553"/>
      <c r="T101" s="367"/>
      <c r="U101" s="553"/>
      <c r="V101" s="367"/>
      <c r="W101" s="553"/>
      <c r="X101" s="367"/>
      <c r="Y101" s="553"/>
      <c r="Z101" s="367"/>
      <c r="AA101" s="264"/>
      <c r="AB101" s="524"/>
      <c r="AC101" s="531">
        <v>1549.1</v>
      </c>
      <c r="AD101" s="287"/>
      <c r="AE101" s="1763"/>
      <c r="AF101" s="531">
        <v>1490.8</v>
      </c>
      <c r="AG101" s="519"/>
      <c r="AH101" s="264"/>
      <c r="AI101" s="264">
        <f>_xlfn.SINGLE(ROUND(SUM(+AC101-AF101),1))</f>
        <v>58.3</v>
      </c>
      <c r="AJ101" s="264"/>
      <c r="AK101" s="283">
        <f>_xlfn.SINGLE(ROUND(IF(AF101=0,0,AI101/ABS(AF101)),3))</f>
        <v>3.9E-2</v>
      </c>
      <c r="AL101" s="1526"/>
    </row>
    <row r="102" spans="1:38" ht="15" customHeight="1">
      <c r="A102" s="35"/>
      <c r="B102" s="291" t="s">
        <v>510</v>
      </c>
      <c r="C102" s="291"/>
      <c r="D102" s="367">
        <v>325</v>
      </c>
      <c r="E102" s="264"/>
      <c r="F102" s="367">
        <v>280.10000000000002</v>
      </c>
      <c r="G102" s="367"/>
      <c r="H102" s="367">
        <f t="shared" ref="H102:H104" si="9">$AC102-F102-D102</f>
        <v>418.19999999999993</v>
      </c>
      <c r="I102" s="264"/>
      <c r="J102" s="367"/>
      <c r="K102" s="553"/>
      <c r="L102" s="367"/>
      <c r="M102" s="553"/>
      <c r="N102" s="367"/>
      <c r="O102" s="553"/>
      <c r="P102" s="367"/>
      <c r="Q102" s="553"/>
      <c r="R102" s="367"/>
      <c r="S102" s="553"/>
      <c r="T102" s="367"/>
      <c r="U102" s="553"/>
      <c r="V102" s="367"/>
      <c r="W102" s="553"/>
      <c r="X102" s="367"/>
      <c r="Y102" s="553"/>
      <c r="Z102" s="367"/>
      <c r="AA102" s="264"/>
      <c r="AB102" s="524"/>
      <c r="AC102" s="531">
        <v>1023.3</v>
      </c>
      <c r="AD102" s="287"/>
      <c r="AE102" s="1763"/>
      <c r="AF102" s="531">
        <v>945</v>
      </c>
      <c r="AG102" s="519"/>
      <c r="AH102" s="264"/>
      <c r="AI102" s="264">
        <f>_xlfn.SINGLE(ROUND(SUM(+AC102-AF102),1))</f>
        <v>78.3</v>
      </c>
      <c r="AJ102" s="264"/>
      <c r="AK102" s="283">
        <f>_xlfn.SINGLE(ROUND(IF(AF102=0,0,AI102/ABS(AF102)),3))</f>
        <v>8.3000000000000004E-2</v>
      </c>
      <c r="AL102" s="1526"/>
    </row>
    <row r="103" spans="1:38" ht="15" customHeight="1">
      <c r="A103" s="35"/>
      <c r="B103" s="291" t="s">
        <v>511</v>
      </c>
      <c r="C103" s="291"/>
      <c r="D103" s="367">
        <v>34.5</v>
      </c>
      <c r="E103" s="264"/>
      <c r="F103" s="367">
        <v>36.099999999999994</v>
      </c>
      <c r="G103" s="367"/>
      <c r="H103" s="367">
        <f t="shared" si="9"/>
        <v>250.5</v>
      </c>
      <c r="I103" s="264"/>
      <c r="J103" s="367"/>
      <c r="K103" s="553"/>
      <c r="L103" s="367"/>
      <c r="M103" s="553"/>
      <c r="N103" s="367"/>
      <c r="O103" s="553"/>
      <c r="P103" s="367"/>
      <c r="Q103" s="553"/>
      <c r="R103" s="367"/>
      <c r="S103" s="553"/>
      <c r="T103" s="367"/>
      <c r="U103" s="553"/>
      <c r="V103" s="367"/>
      <c r="W103" s="553"/>
      <c r="X103" s="367"/>
      <c r="Y103" s="553"/>
      <c r="Z103" s="367"/>
      <c r="AA103" s="264"/>
      <c r="AB103" s="524"/>
      <c r="AC103" s="531">
        <v>321.10000000000002</v>
      </c>
      <c r="AD103" s="287"/>
      <c r="AE103" s="1763"/>
      <c r="AF103" s="531">
        <v>292.8</v>
      </c>
      <c r="AG103" s="519"/>
      <c r="AH103" s="264"/>
      <c r="AI103" s="264">
        <f>_xlfn.SINGLE(ROUND(SUM(+AC103-AF103),1))</f>
        <v>28.3</v>
      </c>
      <c r="AJ103" s="264"/>
      <c r="AK103" s="283">
        <f>_xlfn.SINGLE(ROUND(IF(AF103=0,0,AI103/ABS(AF103)),3))</f>
        <v>9.7000000000000003E-2</v>
      </c>
      <c r="AL103" s="1526"/>
    </row>
    <row r="104" spans="1:38" ht="15" customHeight="1">
      <c r="A104" s="35"/>
      <c r="B104" s="291" t="s">
        <v>513</v>
      </c>
      <c r="C104" s="291"/>
      <c r="D104" s="367">
        <v>0</v>
      </c>
      <c r="E104" s="264"/>
      <c r="F104" s="367">
        <v>0</v>
      </c>
      <c r="G104" s="367"/>
      <c r="H104" s="367">
        <f t="shared" si="9"/>
        <v>0</v>
      </c>
      <c r="I104" s="264"/>
      <c r="J104" s="367"/>
      <c r="K104" s="553"/>
      <c r="L104" s="367"/>
      <c r="M104" s="553"/>
      <c r="N104" s="367"/>
      <c r="O104" s="553"/>
      <c r="P104" s="367"/>
      <c r="Q104" s="553"/>
      <c r="R104" s="367"/>
      <c r="S104" s="553"/>
      <c r="T104" s="367"/>
      <c r="U104" s="553"/>
      <c r="V104" s="367"/>
      <c r="W104" s="553"/>
      <c r="X104" s="885"/>
      <c r="Y104" s="553"/>
      <c r="Z104" s="367"/>
      <c r="AA104" s="264"/>
      <c r="AB104" s="524"/>
      <c r="AC104" s="531">
        <v>0</v>
      </c>
      <c r="AD104" s="287"/>
      <c r="AE104" s="1763"/>
      <c r="AF104" s="531">
        <v>0</v>
      </c>
      <c r="AG104" s="519"/>
      <c r="AH104" s="264"/>
      <c r="AI104" s="264">
        <f>_xlfn.SINGLE(ROUND(SUM(+AC104-AF104),1))</f>
        <v>0</v>
      </c>
      <c r="AJ104" s="264"/>
      <c r="AK104" s="266">
        <f>_xlfn.SINGLE(ROUND(IF(AF104=0,0,AI104/ABS(AF104)),3))</f>
        <v>0</v>
      </c>
      <c r="AL104" s="1526"/>
    </row>
    <row r="105" spans="1:38" ht="15" customHeight="1">
      <c r="A105" s="35"/>
      <c r="B105" s="291"/>
      <c r="C105" s="291"/>
      <c r="D105" s="615"/>
      <c r="E105" s="264"/>
      <c r="F105" s="615"/>
      <c r="G105" s="264"/>
      <c r="H105" s="615"/>
      <c r="I105" s="264"/>
      <c r="J105" s="615"/>
      <c r="K105" s="264"/>
      <c r="L105" s="615"/>
      <c r="M105" s="264"/>
      <c r="N105" s="615"/>
      <c r="O105" s="264"/>
      <c r="P105" s="615"/>
      <c r="Q105" s="264"/>
      <c r="R105" s="615"/>
      <c r="S105" s="264"/>
      <c r="T105" s="615"/>
      <c r="U105" s="264"/>
      <c r="V105" s="615"/>
      <c r="W105" s="264"/>
      <c r="X105" s="367"/>
      <c r="Y105" s="264"/>
      <c r="Z105" s="615"/>
      <c r="AA105" s="264"/>
      <c r="AB105" s="523"/>
      <c r="AC105" s="615"/>
      <c r="AD105" s="264"/>
      <c r="AE105" s="524"/>
      <c r="AF105" s="615"/>
      <c r="AG105" s="519"/>
      <c r="AH105" s="264"/>
      <c r="AI105" s="1036"/>
      <c r="AJ105" s="364"/>
      <c r="AK105" s="1037"/>
      <c r="AL105" s="1526"/>
    </row>
    <row r="106" spans="1:38" ht="15" customHeight="1">
      <c r="A106" s="35"/>
      <c r="B106" s="3" t="s">
        <v>1437</v>
      </c>
      <c r="C106" s="291"/>
      <c r="D106" s="13">
        <f>_xlfn.SINGLE(ROUND(SUM(D99:D104),1))</f>
        <v>1589.6</v>
      </c>
      <c r="E106" s="13"/>
      <c r="F106" s="13">
        <f>_xlfn.SINGLE(ROUND(SUM(F99:F104),1))</f>
        <v>2005.1</v>
      </c>
      <c r="G106" s="13"/>
      <c r="H106" s="13">
        <f>_xlfn.SINGLE(ROUND(SUM(H99:H104),1))</f>
        <v>2777</v>
      </c>
      <c r="I106" s="13"/>
      <c r="J106" s="13">
        <f>_xlfn.SINGLE(ROUND(SUM(J99:J104),1))</f>
        <v>0</v>
      </c>
      <c r="K106" s="13"/>
      <c r="L106" s="13">
        <f>_xlfn.SINGLE(ROUND(SUM(L99:L104),1))</f>
        <v>0</v>
      </c>
      <c r="M106" s="13"/>
      <c r="N106" s="13">
        <f>_xlfn.SINGLE(ROUND(SUM(N99:N104),1))</f>
        <v>0</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57">
        <f>_xlfn.SINGLE(ROUND(SUM(X99:X104),1))</f>
        <v>0</v>
      </c>
      <c r="Y106" s="13"/>
      <c r="Z106" s="13">
        <f>_xlfn.SINGLE(ROUND(SUM(Z99:Z104),1))</f>
        <v>0</v>
      </c>
      <c r="AA106" s="13"/>
      <c r="AB106" s="14"/>
      <c r="AC106" s="13">
        <f>ROUND(SUM(AC99:AC104),1)</f>
        <v>6371.7</v>
      </c>
      <c r="AD106" s="13"/>
      <c r="AE106" s="669"/>
      <c r="AF106" s="13">
        <f>ROUND(SUM(AF99:AF104),1)</f>
        <v>6202.6</v>
      </c>
      <c r="AG106" s="75"/>
      <c r="AH106" s="13"/>
      <c r="AI106" s="357">
        <f>_xlfn.SINGLE(ROUND(SUM(AC106-AF106),1))</f>
        <v>169.1</v>
      </c>
      <c r="AJ106" s="57"/>
      <c r="AK106" s="368">
        <f>_xlfn.SINGLE(ROUND(SUM((AC106-AF106)/ABS(AF106)),3))</f>
        <v>2.7E-2</v>
      </c>
      <c r="AL106" s="1526"/>
    </row>
    <row r="107" spans="1:38" ht="15" customHeight="1">
      <c r="A107" s="35"/>
      <c r="B107" s="291"/>
      <c r="C107" s="291"/>
      <c r="D107" s="615"/>
      <c r="E107" s="264"/>
      <c r="F107" s="615"/>
      <c r="G107" s="264"/>
      <c r="H107" s="615"/>
      <c r="I107" s="264"/>
      <c r="J107" s="615"/>
      <c r="K107" s="264"/>
      <c r="L107" s="615"/>
      <c r="M107" s="264"/>
      <c r="N107" s="615"/>
      <c r="O107" s="264"/>
      <c r="P107" s="615"/>
      <c r="Q107" s="264"/>
      <c r="R107" s="615"/>
      <c r="S107" s="264"/>
      <c r="T107" s="615"/>
      <c r="U107" s="264"/>
      <c r="V107" s="615"/>
      <c r="W107" s="264"/>
      <c r="X107" s="367"/>
      <c r="Y107" s="264"/>
      <c r="Z107" s="615"/>
      <c r="AA107" s="264"/>
      <c r="AB107" s="523"/>
      <c r="AC107" s="615"/>
      <c r="AD107" s="264"/>
      <c r="AE107" s="524"/>
      <c r="AF107" s="615"/>
      <c r="AG107" s="519"/>
      <c r="AH107" s="264"/>
      <c r="AI107" s="264"/>
      <c r="AJ107" s="364"/>
      <c r="AK107" s="283"/>
      <c r="AL107" s="1526"/>
    </row>
    <row r="108" spans="1:38" ht="15" customHeight="1">
      <c r="A108" s="35"/>
      <c r="B108" s="3" t="s">
        <v>458</v>
      </c>
      <c r="C108" s="291"/>
      <c r="D108" s="264"/>
      <c r="E108" s="264"/>
      <c r="F108" s="264"/>
      <c r="G108" s="264"/>
      <c r="H108" s="264"/>
      <c r="I108" s="264"/>
      <c r="J108" s="264"/>
      <c r="K108" s="264"/>
      <c r="L108" s="264"/>
      <c r="M108" s="264"/>
      <c r="N108" s="264"/>
      <c r="O108" s="264"/>
      <c r="P108" s="264"/>
      <c r="Q108" s="264"/>
      <c r="R108" s="264"/>
      <c r="S108" s="264"/>
      <c r="T108" s="264"/>
      <c r="U108" s="264"/>
      <c r="V108" s="264"/>
      <c r="W108" s="264"/>
      <c r="X108" s="367"/>
      <c r="Y108" s="264"/>
      <c r="Z108" s="264"/>
      <c r="AA108" s="264"/>
      <c r="AB108" s="523"/>
      <c r="AC108" s="264"/>
      <c r="AD108" s="264"/>
      <c r="AE108" s="524"/>
      <c r="AF108" s="264"/>
      <c r="AG108" s="519"/>
      <c r="AH108" s="264"/>
      <c r="AI108" s="264"/>
      <c r="AJ108" s="364"/>
      <c r="AK108" s="283"/>
      <c r="AL108" s="1526"/>
    </row>
    <row r="109" spans="1:38" ht="15" customHeight="1">
      <c r="A109" s="35"/>
      <c r="B109" s="3" t="s">
        <v>1438</v>
      </c>
      <c r="C109" s="291"/>
      <c r="D109" s="13">
        <f>_xlfn.SINGLE(ROUND(SUM(D85-D106),1))</f>
        <v>1035</v>
      </c>
      <c r="E109" s="13"/>
      <c r="F109" s="13">
        <f>_xlfn.SINGLE(ROUND(SUM(F85-F106),1))</f>
        <v>1209.8</v>
      </c>
      <c r="G109" s="13"/>
      <c r="H109" s="13">
        <f>_xlfn.SINGLE(ROUND(SUM(H85-H106),1))</f>
        <v>26.5</v>
      </c>
      <c r="I109" s="13"/>
      <c r="J109" s="13">
        <f>_xlfn.SINGLE(ROUND(SUM(J85-J106),1))</f>
        <v>0</v>
      </c>
      <c r="K109" s="13"/>
      <c r="L109" s="13">
        <f>_xlfn.SINGLE(ROUND(SUM(L85-L106),1))</f>
        <v>0</v>
      </c>
      <c r="M109" s="13"/>
      <c r="N109" s="13">
        <f>_xlfn.SINGLE(ROUND(SUM(N85-N106),1))</f>
        <v>0</v>
      </c>
      <c r="O109" s="13"/>
      <c r="P109" s="13">
        <f>_xlfn.SINGLE(ROUND(SUM(P85-P106),1))</f>
        <v>0</v>
      </c>
      <c r="Q109" s="13"/>
      <c r="R109" s="13">
        <f>_xlfn.SINGLE(ROUND(SUM(R85-R106),1))</f>
        <v>0</v>
      </c>
      <c r="S109" s="13"/>
      <c r="T109" s="13">
        <f>_xlfn.SINGLE(ROUND(SUM(T85-T106),1))</f>
        <v>0</v>
      </c>
      <c r="U109" s="13"/>
      <c r="V109" s="13">
        <f>_xlfn.SINGLE(ROUND(SUM(V85-V106),1))</f>
        <v>0</v>
      </c>
      <c r="W109" s="13"/>
      <c r="X109" s="357">
        <f>_xlfn.SINGLE(ROUND(SUM(X85-X106),1))</f>
        <v>0</v>
      </c>
      <c r="Y109" s="13"/>
      <c r="Z109" s="13">
        <f>_xlfn.SINGLE(ROUND(SUM(Z85-Z106),1))</f>
        <v>0</v>
      </c>
      <c r="AA109" s="13"/>
      <c r="AB109" s="14"/>
      <c r="AC109" s="13">
        <f>ROUND(SUM(AC85-AC106),1)</f>
        <v>2271.3000000000002</v>
      </c>
      <c r="AD109" s="13"/>
      <c r="AE109" s="669"/>
      <c r="AF109" s="13">
        <f>ROUND(SUM(AF85-AF106),1)</f>
        <v>681.4</v>
      </c>
      <c r="AG109" s="75"/>
      <c r="AH109" s="13"/>
      <c r="AI109" s="357">
        <f>_xlfn.SINGLE(ROUND(SUM(AC109-AF109),1))</f>
        <v>1589.9</v>
      </c>
      <c r="AJ109" s="57"/>
      <c r="AK109" s="611">
        <f>_xlfn.SINGLE(ROUND(IF(AF109=0,0,AI109/ABS(AF109)),3))</f>
        <v>2.3330000000000002</v>
      </c>
      <c r="AL109" s="1526"/>
    </row>
    <row r="110" spans="1:38" ht="15" customHeight="1">
      <c r="A110" s="35"/>
      <c r="B110" s="291"/>
      <c r="C110" s="291"/>
      <c r="D110" s="615"/>
      <c r="E110" s="264"/>
      <c r="F110" s="615"/>
      <c r="G110" s="264"/>
      <c r="H110" s="615"/>
      <c r="I110" s="264"/>
      <c r="J110" s="615"/>
      <c r="K110" s="264"/>
      <c r="L110" s="615"/>
      <c r="M110" s="264"/>
      <c r="N110" s="615"/>
      <c r="O110" s="264"/>
      <c r="P110" s="615"/>
      <c r="Q110" s="264"/>
      <c r="R110" s="615"/>
      <c r="S110" s="264"/>
      <c r="T110" s="615"/>
      <c r="U110" s="264"/>
      <c r="V110" s="615"/>
      <c r="W110" s="264"/>
      <c r="X110" s="367"/>
      <c r="Y110" s="264"/>
      <c r="Z110" s="615"/>
      <c r="AA110" s="264"/>
      <c r="AB110" s="523"/>
      <c r="AC110" s="615"/>
      <c r="AD110" s="264"/>
      <c r="AE110" s="524"/>
      <c r="AF110" s="615"/>
      <c r="AG110" s="519"/>
      <c r="AH110" s="264"/>
      <c r="AI110" s="264"/>
      <c r="AJ110" s="364"/>
      <c r="AK110" s="283"/>
      <c r="AL110" s="1526"/>
    </row>
    <row r="111" spans="1:38" ht="15" customHeight="1">
      <c r="A111" s="35"/>
      <c r="B111" s="3" t="s">
        <v>145</v>
      </c>
      <c r="C111" s="291"/>
      <c r="D111" s="264"/>
      <c r="E111" s="264"/>
      <c r="F111" s="264"/>
      <c r="G111" s="264"/>
      <c r="H111" s="264"/>
      <c r="I111" s="264"/>
      <c r="J111" s="264"/>
      <c r="K111" s="264"/>
      <c r="L111" s="264"/>
      <c r="M111" s="264"/>
      <c r="N111" s="264"/>
      <c r="O111" s="264"/>
      <c r="P111" s="264"/>
      <c r="Q111" s="264"/>
      <c r="S111" s="264"/>
      <c r="T111" s="264"/>
      <c r="U111" s="264"/>
      <c r="V111" s="264"/>
      <c r="W111" s="264"/>
      <c r="X111" s="367"/>
      <c r="Y111" s="264"/>
      <c r="Z111" s="264"/>
      <c r="AA111" s="264"/>
      <c r="AB111" s="523"/>
      <c r="AC111" s="264"/>
      <c r="AD111" s="264"/>
      <c r="AE111" s="524"/>
      <c r="AF111" s="264"/>
      <c r="AG111" s="519"/>
      <c r="AH111" s="264"/>
      <c r="AI111" s="264"/>
      <c r="AJ111" s="364"/>
      <c r="AK111" s="283"/>
      <c r="AL111" s="1526"/>
    </row>
    <row r="112" spans="1:38" ht="15" customHeight="1">
      <c r="A112" s="35"/>
      <c r="B112" s="291" t="s">
        <v>529</v>
      </c>
      <c r="C112" s="291"/>
      <c r="D112" s="367">
        <v>243.1</v>
      </c>
      <c r="E112" s="264"/>
      <c r="F112" s="367">
        <v>433.1</v>
      </c>
      <c r="G112" s="367"/>
      <c r="H112" s="367">
        <f>$AC112-F112-D112</f>
        <v>748.59999999999991</v>
      </c>
      <c r="I112" s="264"/>
      <c r="J112" s="367"/>
      <c r="K112" s="553"/>
      <c r="L112" s="367"/>
      <c r="M112" s="553"/>
      <c r="N112" s="367"/>
      <c r="O112" s="553"/>
      <c r="P112" s="367"/>
      <c r="Q112" s="553"/>
      <c r="R112" s="367"/>
      <c r="S112" s="553"/>
      <c r="T112" s="367"/>
      <c r="U112" s="553"/>
      <c r="V112" s="367"/>
      <c r="W112" s="553"/>
      <c r="X112" s="367"/>
      <c r="Y112" s="553"/>
      <c r="Z112" s="367"/>
      <c r="AA112" s="264"/>
      <c r="AB112" s="524"/>
      <c r="AC112" s="531">
        <v>1424.8</v>
      </c>
      <c r="AD112" s="287"/>
      <c r="AE112" s="1763"/>
      <c r="AF112" s="531">
        <v>1499.2</v>
      </c>
      <c r="AG112" s="519"/>
      <c r="AH112" s="264"/>
      <c r="AI112" s="264">
        <f>_xlfn.SINGLE(ROUND(SUM(+AC112-AF112),1))</f>
        <v>-74.400000000000006</v>
      </c>
      <c r="AJ112" s="264"/>
      <c r="AK112" s="283">
        <f>_xlfn.SINGLE(ROUND(IF(AF112=0,0,AI112/ABS(AF112)),3))</f>
        <v>-0.05</v>
      </c>
      <c r="AL112" s="1526"/>
    </row>
    <row r="113" spans="1:38" ht="15" customHeight="1">
      <c r="A113" s="35"/>
      <c r="B113" s="291" t="s">
        <v>516</v>
      </c>
      <c r="C113" s="291"/>
      <c r="D113" s="367">
        <v>-22.4</v>
      </c>
      <c r="E113" s="264"/>
      <c r="F113" s="367">
        <v>-2.9000000000000021</v>
      </c>
      <c r="G113" s="367"/>
      <c r="H113" s="367">
        <f>$AC113-F113-D113</f>
        <v>-37.800000000000004</v>
      </c>
      <c r="I113" s="264"/>
      <c r="J113" s="367"/>
      <c r="K113" s="553"/>
      <c r="L113" s="367"/>
      <c r="M113" s="553"/>
      <c r="N113" s="367"/>
      <c r="O113" s="553"/>
      <c r="P113" s="367"/>
      <c r="Q113" s="553"/>
      <c r="R113" s="367"/>
      <c r="S113" s="553"/>
      <c r="T113" s="367"/>
      <c r="U113" s="553"/>
      <c r="V113" s="367"/>
      <c r="W113" s="553"/>
      <c r="X113" s="367"/>
      <c r="Y113" s="553"/>
      <c r="Z113" s="367"/>
      <c r="AA113" s="264"/>
      <c r="AB113" s="524"/>
      <c r="AC113" s="531">
        <v>-63.1</v>
      </c>
      <c r="AD113" s="287"/>
      <c r="AE113" s="1763"/>
      <c r="AF113" s="531">
        <v>-93.6</v>
      </c>
      <c r="AG113" s="519"/>
      <c r="AH113" s="264"/>
      <c r="AI113" s="264">
        <f>_xlfn.SINGLE(ROUND(SUM(+AC113-AF113)*-1,1))</f>
        <v>-30.5</v>
      </c>
      <c r="AJ113" s="264"/>
      <c r="AK113" s="542">
        <f>_xlfn.SINGLE(ROUND(IF(AF113=0,0,AI113/ABS(AF113)),3))</f>
        <v>-0.32600000000000001</v>
      </c>
      <c r="AL113" s="1526"/>
    </row>
    <row r="114" spans="1:38" ht="15" customHeight="1">
      <c r="A114" s="35"/>
      <c r="B114" s="291"/>
      <c r="C114" s="291"/>
      <c r="D114" s="615"/>
      <c r="E114" s="264"/>
      <c r="F114" s="615"/>
      <c r="G114" s="264"/>
      <c r="H114" s="615"/>
      <c r="I114" s="264"/>
      <c r="J114" s="615"/>
      <c r="K114" s="264"/>
      <c r="L114" s="615"/>
      <c r="M114" s="264"/>
      <c r="N114" s="615"/>
      <c r="O114" s="264"/>
      <c r="P114" s="615"/>
      <c r="Q114" s="264"/>
      <c r="R114" s="615"/>
      <c r="S114" s="264"/>
      <c r="T114" s="615"/>
      <c r="U114" s="264"/>
      <c r="V114" s="615"/>
      <c r="W114" s="264"/>
      <c r="X114" s="615"/>
      <c r="Y114" s="264"/>
      <c r="Z114" s="615"/>
      <c r="AA114" s="264"/>
      <c r="AB114" s="523"/>
      <c r="AC114" s="615"/>
      <c r="AD114" s="264"/>
      <c r="AE114" s="524"/>
      <c r="AF114" s="615"/>
      <c r="AG114" s="519"/>
      <c r="AH114" s="264"/>
      <c r="AI114" s="1036"/>
      <c r="AJ114" s="364"/>
      <c r="AK114" s="1037"/>
      <c r="AL114" s="1526"/>
    </row>
    <row r="115" spans="1:38" ht="15" customHeight="1">
      <c r="A115" s="35"/>
      <c r="B115" s="3" t="s">
        <v>530</v>
      </c>
      <c r="C115" s="291"/>
      <c r="D115" s="13">
        <f>_xlfn.SINGLE(ROUND(SUM(D112:D114),1))</f>
        <v>220.7</v>
      </c>
      <c r="E115" s="13"/>
      <c r="F115" s="13">
        <f>_xlfn.SINGLE(ROUND(SUM(F112:F114),1))</f>
        <v>430.2</v>
      </c>
      <c r="G115" s="13"/>
      <c r="H115" s="13">
        <f>_xlfn.SINGLE(ROUND(SUM(H112:H114),1))</f>
        <v>710.8</v>
      </c>
      <c r="I115" s="13"/>
      <c r="J115" s="13">
        <f>_xlfn.SINGLE(ROUND(SUM(J112:J114),1))</f>
        <v>0</v>
      </c>
      <c r="K115" s="13"/>
      <c r="L115" s="13">
        <f>_xlfn.SINGLE(ROUND(SUM(L112:L114),1))</f>
        <v>0</v>
      </c>
      <c r="M115" s="13"/>
      <c r="N115" s="13">
        <f>_xlfn.SINGLE(ROUND(SUM(N112:N114),1))</f>
        <v>0</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1361.7</v>
      </c>
      <c r="AD115" s="13"/>
      <c r="AE115" s="669"/>
      <c r="AF115" s="13">
        <f>ROUND(SUM(AF112:AF114),1)</f>
        <v>1405.6</v>
      </c>
      <c r="AG115" s="75"/>
      <c r="AH115" s="13"/>
      <c r="AI115" s="357">
        <f>_xlfn.SINGLE(ROUND(SUM(AC115-AF115),1))</f>
        <v>-43.9</v>
      </c>
      <c r="AJ115" s="40"/>
      <c r="AK115" s="368">
        <f>_xlfn.SINGLE(ROUND(SUM((AC115-AF115)/ABS(AF115)),3))</f>
        <v>-3.1E-2</v>
      </c>
      <c r="AL115" s="1526"/>
    </row>
    <row r="116" spans="1:38" ht="15" customHeight="1">
      <c r="A116" s="35"/>
      <c r="B116" s="291"/>
      <c r="C116" s="291"/>
      <c r="D116" s="615"/>
      <c r="E116" s="264"/>
      <c r="F116" s="615"/>
      <c r="G116" s="264"/>
      <c r="H116" s="615"/>
      <c r="I116" s="264"/>
      <c r="J116" s="615"/>
      <c r="K116" s="264"/>
      <c r="L116" s="615"/>
      <c r="M116" s="264"/>
      <c r="N116" s="615"/>
      <c r="O116" s="264"/>
      <c r="P116" s="615"/>
      <c r="Q116" s="264"/>
      <c r="R116" s="615"/>
      <c r="S116" s="264"/>
      <c r="T116" s="615"/>
      <c r="U116" s="264"/>
      <c r="V116" s="615"/>
      <c r="W116" s="264"/>
      <c r="X116" s="615"/>
      <c r="Y116" s="264"/>
      <c r="Z116" s="615"/>
      <c r="AA116" s="264"/>
      <c r="AB116" s="523"/>
      <c r="AC116" s="615"/>
      <c r="AD116" s="264"/>
      <c r="AE116" s="524"/>
      <c r="AF116" s="615"/>
      <c r="AG116" s="519"/>
      <c r="AH116" s="264"/>
      <c r="AI116" s="264"/>
      <c r="AJ116" s="364"/>
      <c r="AK116" s="283"/>
      <c r="AL116" s="1526"/>
    </row>
    <row r="117" spans="1:38" ht="15" customHeight="1">
      <c r="A117" s="35"/>
      <c r="B117" s="3" t="s">
        <v>469</v>
      </c>
      <c r="C117" s="291"/>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523"/>
      <c r="AC117" s="264"/>
      <c r="AD117" s="264"/>
      <c r="AE117" s="524"/>
      <c r="AF117" s="264"/>
      <c r="AG117" s="519"/>
      <c r="AH117" s="264"/>
      <c r="AI117" s="264"/>
      <c r="AJ117" s="364"/>
      <c r="AK117" s="283"/>
      <c r="AL117" s="1526"/>
    </row>
    <row r="118" spans="1:38" ht="15" customHeight="1">
      <c r="A118" s="35"/>
      <c r="B118" s="3" t="s">
        <v>531</v>
      </c>
      <c r="C118" s="291"/>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523"/>
      <c r="AC118" s="264"/>
      <c r="AD118" s="264"/>
      <c r="AE118" s="524"/>
      <c r="AF118" s="264"/>
      <c r="AG118" s="519"/>
      <c r="AH118" s="264"/>
      <c r="AI118" s="264"/>
      <c r="AJ118" s="364"/>
      <c r="AK118" s="283"/>
      <c r="AL118" s="1526"/>
    </row>
    <row r="119" spans="1:38" ht="15" customHeight="1">
      <c r="A119" s="35"/>
      <c r="B119" s="3" t="s">
        <v>518</v>
      </c>
      <c r="C119" s="291"/>
      <c r="D119" s="357">
        <f>_xlfn.SINGLE(ROUND(SUM(D109+D115),1))</f>
        <v>1255.7</v>
      </c>
      <c r="E119" s="13"/>
      <c r="F119" s="357">
        <f>_xlfn.SINGLE(ROUND(SUM(F109+F115),1))</f>
        <v>1640</v>
      </c>
      <c r="G119" s="13"/>
      <c r="H119" s="357">
        <f>_xlfn.SINGLE(ROUND(SUM(H109+H115),1))</f>
        <v>737.3</v>
      </c>
      <c r="I119" s="13"/>
      <c r="J119" s="357">
        <f>_xlfn.SINGLE(ROUND(SUM(J109+J115),1))</f>
        <v>0</v>
      </c>
      <c r="K119" s="13"/>
      <c r="L119" s="357">
        <f>_xlfn.SINGLE(ROUND(SUM(L109+L115),1))</f>
        <v>0</v>
      </c>
      <c r="M119" s="13"/>
      <c r="N119" s="357">
        <f>_xlfn.SINGLE(ROUND(SUM(N109+N115),1))</f>
        <v>0</v>
      </c>
      <c r="O119" s="13"/>
      <c r="P119" s="357">
        <f>_xlfn.SINGLE(ROUND(SUM(P109+P115),1))</f>
        <v>0</v>
      </c>
      <c r="Q119" s="13"/>
      <c r="R119" s="357">
        <f>_xlfn.SINGLE(ROUND(SUM(R109+R115),1))</f>
        <v>0</v>
      </c>
      <c r="S119" s="13"/>
      <c r="T119" s="357">
        <f>_xlfn.SINGLE(ROUND(SUM(T109+T115),1))</f>
        <v>0</v>
      </c>
      <c r="U119" s="13"/>
      <c r="V119" s="357">
        <f>_xlfn.SINGLE(ROUND(SUM(V109+V115),1))</f>
        <v>0</v>
      </c>
      <c r="W119" s="13"/>
      <c r="X119" s="357">
        <f>_xlfn.SINGLE(ROUND(SUM(X109+X115),1))</f>
        <v>0</v>
      </c>
      <c r="Y119" s="13"/>
      <c r="Z119" s="357">
        <f>_xlfn.SINGLE(ROUND(SUM(Z109+Z115),1))</f>
        <v>0</v>
      </c>
      <c r="AA119" s="1232"/>
      <c r="AB119" s="13"/>
      <c r="AC119" s="357">
        <f>ROUND(SUM(AC109+AC115),1)</f>
        <v>3633</v>
      </c>
      <c r="AD119" s="1234"/>
      <c r="AE119" s="13"/>
      <c r="AF119" s="357">
        <f>ROUND(SUM(AF109+AF115),1)</f>
        <v>2087</v>
      </c>
      <c r="AG119" s="519"/>
      <c r="AH119" s="13"/>
      <c r="AI119" s="357">
        <f>_xlfn.SINGLE(ROUND(SUM(AI109+AI115),1))</f>
        <v>1546</v>
      </c>
      <c r="AJ119" s="13"/>
      <c r="AK119" s="611">
        <f>_xlfn.SINGLE(ROUND(IF(AF119=0,0,AI119/ABS(AF119)),3))</f>
        <v>0.74099999999999999</v>
      </c>
      <c r="AL119" s="1526"/>
    </row>
    <row r="120" spans="1:38" ht="15" customHeight="1">
      <c r="A120" s="35"/>
      <c r="B120" s="3"/>
      <c r="C120" s="291"/>
      <c r="D120" s="268"/>
      <c r="E120" s="268"/>
      <c r="F120" s="268"/>
      <c r="G120" s="268"/>
      <c r="H120" s="268"/>
      <c r="I120" s="268"/>
      <c r="J120" s="268"/>
      <c r="K120" s="268"/>
      <c r="L120" s="268"/>
      <c r="M120" s="268"/>
      <c r="N120" s="268"/>
      <c r="O120" s="268"/>
      <c r="P120" s="268"/>
      <c r="Q120" s="268"/>
      <c r="R120" s="268"/>
      <c r="S120" s="268"/>
      <c r="T120" s="20"/>
      <c r="U120" s="268"/>
      <c r="V120" s="268"/>
      <c r="W120" s="268"/>
      <c r="X120" s="268"/>
      <c r="Y120" s="268"/>
      <c r="Z120" s="268"/>
      <c r="AA120" s="268"/>
      <c r="AB120" s="1044"/>
      <c r="AC120" s="268"/>
      <c r="AD120" s="268"/>
      <c r="AE120" s="1044"/>
      <c r="AF120" s="268"/>
      <c r="AG120" s="268"/>
      <c r="AH120" s="1031"/>
      <c r="AI120" s="364"/>
      <c r="AJ120" s="364"/>
      <c r="AK120" s="283"/>
      <c r="AL120" s="1526"/>
    </row>
    <row r="121" spans="1:38" ht="17.25" customHeight="1" thickBot="1">
      <c r="A121" s="35"/>
      <c r="B121" s="3" t="s">
        <v>532</v>
      </c>
      <c r="C121" s="291"/>
      <c r="D121" s="70">
        <f>_xlfn.SINGLE(ROUND(SUM(+D119+D13),1))</f>
        <v>13987.6</v>
      </c>
      <c r="E121" s="268"/>
      <c r="F121" s="70">
        <f>_xlfn.SINGLE(ROUND(SUM(+F119+F13),1))</f>
        <v>15627.6</v>
      </c>
      <c r="G121" s="268"/>
      <c r="H121" s="70">
        <f>_xlfn.SINGLE(ROUND(SUM(+H119+H13),1))</f>
        <v>16364.9</v>
      </c>
      <c r="I121" s="268"/>
      <c r="J121" s="70">
        <f>_xlfn.SINGLE(ROUND(SUM(+J119+J13),1))</f>
        <v>0</v>
      </c>
      <c r="K121" s="268"/>
      <c r="L121" s="70">
        <f>_xlfn.SINGLE(ROUND(SUM(+L119+L13),1))</f>
        <v>0</v>
      </c>
      <c r="M121" s="268"/>
      <c r="N121" s="70">
        <f>_xlfn.SINGLE(ROUND(SUM(+N119+N13),1))</f>
        <v>0</v>
      </c>
      <c r="O121" s="268"/>
      <c r="P121" s="70">
        <f>_xlfn.SINGLE(ROUND(SUM(+P119+P13),1))</f>
        <v>0</v>
      </c>
      <c r="Q121" s="268"/>
      <c r="R121" s="70">
        <f>_xlfn.SINGLE(ROUND(SUM(+R119+R13),1))</f>
        <v>0</v>
      </c>
      <c r="S121" s="268"/>
      <c r="T121" s="70">
        <f>_xlfn.SINGLE(ROUND(SUM(+T119+T13),1))</f>
        <v>0</v>
      </c>
      <c r="U121" s="268"/>
      <c r="V121" s="70">
        <f>_xlfn.SINGLE(ROUND(SUM(+V119+V13),1))</f>
        <v>0</v>
      </c>
      <c r="W121" s="268"/>
      <c r="X121" s="70">
        <f>_xlfn.SINGLE(ROUND(SUM(+X119+X13),1))</f>
        <v>0</v>
      </c>
      <c r="Y121" s="268"/>
      <c r="Z121" s="70">
        <f>_xlfn.SINGLE(ROUND(SUM(+Z119+Z13),1))</f>
        <v>0</v>
      </c>
      <c r="AA121" s="268"/>
      <c r="AB121" s="1044"/>
      <c r="AC121" s="70">
        <f>ROUND(SUM(+AC119+AC13),1)</f>
        <v>16364.9</v>
      </c>
      <c r="AD121" s="268"/>
      <c r="AE121" s="1044"/>
      <c r="AF121" s="70">
        <f>ROUND(SUM(+AF119+AF13),1)</f>
        <v>12375.7</v>
      </c>
      <c r="AG121" s="268"/>
      <c r="AH121" s="1031"/>
      <c r="AI121" s="70">
        <f>_xlfn.SINGLE(ROUND(SUM(+AI119+AI13),1))</f>
        <v>3989.2</v>
      </c>
      <c r="AJ121" s="364"/>
      <c r="AK121" s="77">
        <f>_xlfn.SINGLE(ROUND(IF(AF121=0,0,AI121/ABS(AF121)),3))</f>
        <v>0.32200000000000001</v>
      </c>
      <c r="AL121" s="1526"/>
    </row>
    <row r="122" spans="1:38" ht="15" customHeight="1" thickTop="1">
      <c r="A122" s="35"/>
      <c r="B122" s="3"/>
      <c r="C122" s="291"/>
      <c r="D122" s="268"/>
      <c r="E122" s="268"/>
      <c r="F122" s="268"/>
      <c r="G122" s="268"/>
      <c r="H122" s="268"/>
      <c r="I122" s="268"/>
      <c r="J122" s="268"/>
      <c r="K122" s="268"/>
      <c r="L122" s="268"/>
      <c r="M122" s="268"/>
      <c r="N122" s="268"/>
      <c r="O122" s="268"/>
      <c r="P122" s="20"/>
      <c r="Q122" s="268"/>
      <c r="R122" s="268"/>
      <c r="S122" s="268"/>
      <c r="T122" s="268"/>
      <c r="U122" s="268"/>
      <c r="V122" s="268"/>
      <c r="W122" s="268"/>
      <c r="X122" s="268"/>
      <c r="Y122" s="268"/>
      <c r="Z122" s="268"/>
      <c r="AA122" s="268"/>
      <c r="AB122" s="268"/>
      <c r="AC122" s="268"/>
      <c r="AD122" s="268"/>
      <c r="AE122" s="268"/>
      <c r="AF122" s="268"/>
      <c r="AG122" s="268"/>
      <c r="AH122" s="364"/>
      <c r="AI122" s="364"/>
      <c r="AJ122" s="364"/>
      <c r="AK122" s="283"/>
    </row>
    <row r="123" spans="1:38" ht="15" customHeight="1">
      <c r="B123" s="58"/>
      <c r="C123" s="364"/>
      <c r="D123" s="405"/>
      <c r="E123" s="405"/>
      <c r="F123" s="405"/>
      <c r="G123" s="405"/>
      <c r="H123" s="405"/>
      <c r="I123" s="405"/>
      <c r="J123" s="405"/>
      <c r="K123" s="405"/>
      <c r="L123" s="405"/>
      <c r="M123" s="405"/>
      <c r="N123" s="405"/>
      <c r="O123" s="405"/>
      <c r="P123" s="405"/>
      <c r="Q123" s="405"/>
      <c r="R123" s="405"/>
      <c r="S123" s="405"/>
      <c r="T123" s="405"/>
      <c r="U123" s="405"/>
      <c r="V123" s="405"/>
      <c r="W123" s="405"/>
      <c r="X123" s="405"/>
      <c r="Y123" s="405"/>
      <c r="Z123" s="405"/>
      <c r="AA123" s="405"/>
      <c r="AB123" s="405"/>
      <c r="AC123" s="405"/>
      <c r="AD123" s="405"/>
      <c r="AE123" s="405"/>
      <c r="AF123" s="405" t="s">
        <v>103</v>
      </c>
      <c r="AG123" s="405"/>
      <c r="AH123" s="405"/>
      <c r="AI123" s="405"/>
      <c r="AJ123" s="405"/>
      <c r="AK123" s="283"/>
    </row>
  </sheetData>
  <customSheetViews>
    <customSheetView guid="{83D69B98-1714-4D17-901F-87B47BE66947}" scale="80" showPageBreaks="1" showGridLines="0" printArea="1" topLeftCell="M106">
      <selection activeCell="AC93" sqref="AC93"/>
      <rowBreaks count="1" manualBreakCount="1">
        <brk id="86" min="1" max="36" man="1"/>
      </rowBreaks>
      <pageMargins left="0.25" right="0.25" top="0.5" bottom="0.25" header="0" footer="0.25"/>
      <printOptions horizontalCentered="1"/>
      <pageSetup scale="40" firstPageNumber="24" orientation="landscape" useFirstPageNumber="1" r:id="rId1"/>
      <headerFooter scaleWithDoc="0" alignWithMargins="0">
        <oddFooter>&amp;C&amp;8&amp;P</oddFooter>
      </headerFooter>
    </customSheetView>
    <customSheetView guid="{F9AE1502-86F7-4AAA-AE66-F6A75A634C1B}"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2"/>
      <headerFooter scaleWithDoc="0" alignWithMargins="0">
        <oddFooter>&amp;C&amp;8&amp;P</oddFooter>
      </headerFooter>
    </customSheetView>
    <customSheetView guid="{C41E3923-0A88-49D0-AE43-0E74D386A056}"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3"/>
      <headerFooter scaleWithDoc="0" alignWithMargins="0">
        <oddFooter>&amp;C&amp;8&amp;P</oddFooter>
      </headerFooter>
    </customSheetView>
    <customSheetView guid="{1DF171D7-3BFC-49F6-B708-0F91FCFAB6E2}" scale="80" showPageBreaks="1" showGridLines="0" printArea="1" topLeftCell="B86">
      <selection activeCell="L112" sqref="L112"/>
      <rowBreaks count="1" manualBreakCount="1">
        <brk id="86" min="1" max="36" man="1"/>
      </rowBreaks>
      <pageMargins left="0.25" right="0.25" top="0.5" bottom="0.25" header="0" footer="0.25"/>
      <printOptions horizontalCentered="1"/>
      <pageSetup scale="40" firstPageNumber="24" orientation="landscape" useFirstPageNumber="1" r:id="rId4"/>
      <headerFooter scaleWithDoc="0" alignWithMargins="0">
        <oddFooter>&amp;C&amp;8&amp;P</oddFooter>
      </headerFooter>
    </customSheetView>
    <customSheetView guid="{9F00D83C-7F4F-41B5-9976-8610D9EBC976}" scale="80" showPageBreaks="1" showGridLines="0" printArea="1" topLeftCell="A84">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5"/>
      <headerFooter scaleWithDoc="0" alignWithMargins="0">
        <oddFooter>&amp;C&amp;8&amp;P</oddFooter>
      </headerFooter>
    </customSheetView>
    <customSheetView guid="{D1467C25-646C-4F1A-9353-0E890E575522}" scale="80" showPageBreaks="1" showGridLines="0" printArea="1" topLeftCell="A7">
      <selection activeCell="J105" sqref="J105"/>
      <rowBreaks count="1" manualBreakCount="1">
        <brk id="86" min="1" max="36" man="1"/>
      </rowBreaks>
      <pageMargins left="0.25" right="0.25" top="0.5" bottom="0.25" header="0" footer="0.25"/>
      <printOptions horizontalCentered="1"/>
      <pageSetup scale="40" firstPageNumber="24" orientation="landscape" useFirstPageNumber="1" r:id="rId6"/>
      <headerFooter scaleWithDoc="0" alignWithMargins="0">
        <oddFooter>&amp;C&amp;8&amp;P</oddFooter>
      </headerFooter>
    </customSheetView>
    <customSheetView guid="{3A50DD26-AAF5-43D4-97DE-BAE3367A2F29}" scale="80" showPageBreaks="1" showGridLines="0" printArea="1" topLeftCell="H57">
      <selection activeCell="AK91" sqref="AK91"/>
      <rowBreaks count="1" manualBreakCount="1">
        <brk id="86" min="1" max="36" man="1"/>
      </rowBreaks>
      <pageMargins left="0.25" right="0.25" top="0.5" bottom="0.25" header="0" footer="0.25"/>
      <printOptions horizontalCentered="1"/>
      <pageSetup scale="40" firstPageNumber="24" orientation="landscape" useFirstPageNumber="1" r:id="rId7"/>
      <headerFooter scaleWithDoc="0" alignWithMargins="0">
        <oddFooter>&amp;C&amp;8&amp;P</oddFooter>
      </headerFooter>
    </customSheetView>
    <customSheetView guid="{C3636880-B45B-4897-94F2-F91976416934}" scale="80" showPageBreaks="1" showGridLines="0" printArea="1">
      <selection activeCell="AF98" sqref="AF98"/>
      <rowBreaks count="1" manualBreakCount="1">
        <brk id="86" min="1" max="36" man="1"/>
      </rowBreaks>
      <pageMargins left="0.25" right="0.25" top="0.5" bottom="0.25" header="0" footer="0.25"/>
      <printOptions horizontalCentered="1"/>
      <pageSetup scale="40" firstPageNumber="24"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 footer="0.25"/>
  <pageSetup scale="40" firstPageNumber="24" orientation="landscape" useFirstPageNumber="1" r:id="rId9"/>
  <headerFooter scaleWithDoc="0" alignWithMargins="0">
    <oddFooter>&amp;C&amp;8&amp;P</oddFooter>
  </headerFooter>
  <rowBreaks count="1" manualBreakCount="1">
    <brk id="86" min="1" max="36" man="1"/>
  </rowBreaks>
  <customProperties>
    <customPr name="SheetOptions" r:id="rId10"/>
  </customProperties>
  <ignoredErrors>
    <ignoredError sqref="AK43 AK56 AK48 AK63 AK69 AK39:AK41 AK29:AK32 AK35:AK37" unlockedFormula="1"/>
    <ignoredError sqref="AK25:AK26 AK34 AK58 AK52 AK65 AK71 AK73 AK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L97"/>
  <sheetViews>
    <sheetView showGridLines="0" zoomScale="80" zoomScaleNormal="80" workbookViewId="0">
      <selection activeCell="B1" sqref="B1"/>
    </sheetView>
  </sheetViews>
  <sheetFormatPr defaultColWidth="8.88671875" defaultRowHeight="12.75"/>
  <cols>
    <col min="1" max="1" width="1.88671875" style="63" customWidth="1"/>
    <col min="2" max="2" width="44.88671875" style="63" customWidth="1"/>
    <col min="3" max="3" width="1.88671875" style="63" customWidth="1"/>
    <col min="4" max="4" width="15.109375" style="63" bestFit="1" customWidth="1"/>
    <col min="5" max="5" width="1.88671875" style="63" customWidth="1"/>
    <col min="6" max="6" width="12" style="63" customWidth="1"/>
    <col min="7" max="7" width="1.88671875" style="63" customWidth="1"/>
    <col min="8" max="8" width="12.109375" style="63" bestFit="1" customWidth="1"/>
    <col min="9" max="9" width="1.88671875" style="63" customWidth="1"/>
    <col min="10" max="10" width="12.109375" style="63" bestFit="1" customWidth="1"/>
    <col min="11" max="11" width="1.88671875" style="63" customWidth="1"/>
    <col min="12" max="12" width="11.109375" style="63" customWidth="1"/>
    <col min="13" max="13" width="1.88671875" style="63" customWidth="1"/>
    <col min="14" max="14" width="12.109375" style="63" customWidth="1"/>
    <col min="15" max="15" width="1.88671875" style="63" customWidth="1"/>
    <col min="16" max="16" width="11" style="63" bestFit="1" customWidth="1"/>
    <col min="17" max="17" width="1.88671875" style="63" customWidth="1"/>
    <col min="18" max="18" width="11.5546875" style="63" bestFit="1" customWidth="1"/>
    <col min="19" max="19" width="1.88671875" style="63" customWidth="1"/>
    <col min="20" max="20" width="11.44140625" style="63" customWidth="1"/>
    <col min="21" max="21" width="1.88671875" style="63" customWidth="1"/>
    <col min="22" max="22" width="11.109375" style="63" customWidth="1"/>
    <col min="23" max="23" width="1.88671875" style="63" customWidth="1"/>
    <col min="24" max="24" width="11.109375" style="63" bestFit="1" customWidth="1"/>
    <col min="25" max="25" width="1.88671875" style="63" customWidth="1"/>
    <col min="26" max="26" width="10.88671875" style="63" bestFit="1" customWidth="1"/>
    <col min="27" max="28" width="1.88671875" style="63" customWidth="1"/>
    <col min="29" max="29" width="12.109375" style="63" customWidth="1"/>
    <col min="30" max="31" width="1.109375" style="63" customWidth="1"/>
    <col min="32" max="32" width="11.88671875" style="63" customWidth="1"/>
    <col min="33" max="34" width="1.109375" style="63" customWidth="1"/>
    <col min="35" max="35" width="13.109375" style="63" bestFit="1" customWidth="1"/>
    <col min="36" max="36" width="0.88671875" style="63" customWidth="1"/>
    <col min="37" max="37" width="13.88671875" style="328" bestFit="1" customWidth="1"/>
    <col min="38" max="38" width="8.88671875" style="1528"/>
    <col min="39" max="16384" width="8.88671875" style="63"/>
  </cols>
  <sheetData>
    <row r="1" spans="1:38" ht="15">
      <c r="B1" s="265" t="s">
        <v>97</v>
      </c>
    </row>
    <row r="2" spans="1:38" ht="15.75">
      <c r="M2" s="3"/>
      <c r="N2" s="3"/>
      <c r="O2" s="71"/>
    </row>
    <row r="3" spans="1:38" ht="18">
      <c r="B3" s="65" t="s">
        <v>98</v>
      </c>
      <c r="M3" s="3"/>
      <c r="N3" s="3"/>
      <c r="O3" s="71"/>
      <c r="AE3" s="23"/>
      <c r="AF3" s="23"/>
      <c r="AG3" s="23"/>
      <c r="AH3" s="23"/>
      <c r="AI3" s="23"/>
      <c r="AJ3" s="23"/>
      <c r="AK3" s="66" t="s">
        <v>472</v>
      </c>
    </row>
    <row r="4" spans="1:38" ht="18">
      <c r="B4" s="65" t="s">
        <v>533</v>
      </c>
      <c r="L4" s="3"/>
      <c r="M4" s="3"/>
      <c r="O4" s="71"/>
    </row>
    <row r="5" spans="1:38" ht="18">
      <c r="B5" s="540" t="s">
        <v>444</v>
      </c>
      <c r="L5" s="71"/>
      <c r="M5" s="71"/>
      <c r="O5" s="71"/>
      <c r="X5" s="78"/>
    </row>
    <row r="6" spans="1:38" ht="20.25">
      <c r="B6" s="540" t="str">
        <f>'Cashflow Governmental'!A6</f>
        <v>FISCAL YEAR 2026-2027</v>
      </c>
      <c r="L6" s="71"/>
      <c r="M6" s="71"/>
      <c r="O6" s="71"/>
      <c r="AK6" s="329"/>
    </row>
    <row r="7" spans="1:38" ht="18">
      <c r="B7" s="65" t="s">
        <v>522</v>
      </c>
      <c r="AH7" s="35"/>
      <c r="AI7" s="35"/>
      <c r="AJ7" s="35"/>
      <c r="AK7" s="330"/>
    </row>
    <row r="8" spans="1:38" ht="13.5" customHeight="1">
      <c r="B8" s="79"/>
      <c r="D8" s="1530"/>
      <c r="AH8" s="35"/>
      <c r="AI8" s="35"/>
      <c r="AJ8" s="35"/>
      <c r="AK8" s="330"/>
    </row>
    <row r="9" spans="1:38" ht="15.75">
      <c r="D9" s="1118"/>
      <c r="L9" s="71"/>
      <c r="M9" s="71"/>
      <c r="N9" s="71"/>
      <c r="O9" s="71"/>
      <c r="AB9" s="2067" t="str">
        <f>'Exhibit G'!AD9</f>
        <v>3 Months Ended June 30</v>
      </c>
      <c r="AC9" s="2065"/>
      <c r="AD9" s="2065"/>
      <c r="AE9" s="2065"/>
      <c r="AF9" s="2065"/>
      <c r="AG9" s="2065"/>
      <c r="AH9" s="2065"/>
      <c r="AI9" s="2065"/>
      <c r="AJ9" s="2065"/>
      <c r="AK9" s="2065"/>
    </row>
    <row r="10" spans="1:38" ht="15.75">
      <c r="B10" s="364"/>
      <c r="C10" s="364"/>
      <c r="D10" s="314" t="str">
        <f>'Cashflow Governmental'!C13</f>
        <v>2026</v>
      </c>
      <c r="E10" s="3"/>
      <c r="F10" s="3"/>
      <c r="G10" s="3"/>
      <c r="H10" s="3"/>
      <c r="I10" s="3"/>
      <c r="J10" s="3"/>
      <c r="K10" s="3"/>
      <c r="L10" s="3"/>
      <c r="M10" s="3"/>
      <c r="N10" s="3"/>
      <c r="O10" s="3"/>
      <c r="P10" s="3"/>
      <c r="Q10" s="3"/>
      <c r="R10" s="3"/>
      <c r="S10" s="3"/>
      <c r="T10" s="3"/>
      <c r="U10" s="3"/>
      <c r="V10" s="314">
        <f>'Cashflow Governmental'!U13</f>
        <v>2027</v>
      </c>
      <c r="W10" s="3"/>
      <c r="X10" s="3"/>
      <c r="Y10" s="3"/>
      <c r="Z10" s="3"/>
      <c r="AA10" s="3"/>
      <c r="AB10" s="3"/>
      <c r="AC10" s="57"/>
      <c r="AD10" s="57"/>
      <c r="AE10" s="57"/>
      <c r="AF10" s="57"/>
      <c r="AG10" s="57"/>
      <c r="AH10" s="57"/>
      <c r="AI10" s="320" t="s">
        <v>110</v>
      </c>
      <c r="AJ10" s="320"/>
      <c r="AK10" s="331" t="s">
        <v>111</v>
      </c>
      <c r="AL10" s="1529"/>
    </row>
    <row r="11" spans="1:38" ht="15.75">
      <c r="B11" s="364"/>
      <c r="C11" s="364"/>
      <c r="D11" s="52" t="s">
        <v>329</v>
      </c>
      <c r="E11" s="3"/>
      <c r="F11" s="52" t="s">
        <v>330</v>
      </c>
      <c r="G11" s="3"/>
      <c r="H11" s="52" t="s">
        <v>331</v>
      </c>
      <c r="I11" s="3"/>
      <c r="J11" s="52" t="s">
        <v>332</v>
      </c>
      <c r="K11" s="3"/>
      <c r="L11" s="52" t="s">
        <v>333</v>
      </c>
      <c r="M11" s="3"/>
      <c r="N11" s="52" t="s">
        <v>445</v>
      </c>
      <c r="O11" s="3"/>
      <c r="P11" s="52" t="s">
        <v>446</v>
      </c>
      <c r="Q11" s="3"/>
      <c r="R11" s="52" t="s">
        <v>336</v>
      </c>
      <c r="S11" s="3"/>
      <c r="T11" s="52" t="s">
        <v>337</v>
      </c>
      <c r="U11" s="3"/>
      <c r="V11" s="52" t="s">
        <v>338</v>
      </c>
      <c r="W11" s="3"/>
      <c r="X11" s="52" t="s">
        <v>339</v>
      </c>
      <c r="Y11" s="3"/>
      <c r="Z11" s="52" t="s">
        <v>447</v>
      </c>
      <c r="AA11" s="3"/>
      <c r="AB11" s="3"/>
      <c r="AC11" s="314" t="str">
        <f>'Cashflow Governmental'!AB14</f>
        <v>2026</v>
      </c>
      <c r="AD11" s="314"/>
      <c r="AE11" s="3" t="s">
        <v>103</v>
      </c>
      <c r="AF11" s="314" t="str">
        <f>'Cashflow Governmental'!AE14</f>
        <v>2025</v>
      </c>
      <c r="AG11" s="314"/>
      <c r="AH11" s="57"/>
      <c r="AI11" s="415" t="s">
        <v>112</v>
      </c>
      <c r="AJ11" s="320"/>
      <c r="AK11" s="1045" t="s">
        <v>113</v>
      </c>
      <c r="AL11" s="1529"/>
    </row>
    <row r="12" spans="1:38" ht="6.75" customHeight="1">
      <c r="B12" s="364"/>
      <c r="C12" s="364"/>
      <c r="D12" s="988"/>
      <c r="E12" s="364"/>
      <c r="F12" s="988"/>
      <c r="G12" s="364"/>
      <c r="H12" s="988"/>
      <c r="I12" s="364"/>
      <c r="J12" s="988"/>
      <c r="K12" s="364"/>
      <c r="L12" s="988"/>
      <c r="M12" s="364"/>
      <c r="N12" s="988"/>
      <c r="O12" s="364"/>
      <c r="P12" s="988"/>
      <c r="Q12" s="364"/>
      <c r="R12" s="988"/>
      <c r="S12" s="364"/>
      <c r="T12" s="988"/>
      <c r="U12" s="364"/>
      <c r="V12" s="988"/>
      <c r="W12" s="364"/>
      <c r="X12" s="988"/>
      <c r="Y12" s="364"/>
      <c r="Z12" s="988"/>
      <c r="AA12" s="364"/>
      <c r="AB12" s="364"/>
      <c r="AC12" s="988"/>
      <c r="AD12" s="988"/>
      <c r="AE12" s="364"/>
      <c r="AF12" s="988"/>
      <c r="AG12" s="364"/>
      <c r="AH12" s="364"/>
      <c r="AI12" s="364"/>
      <c r="AJ12" s="364"/>
      <c r="AK12" s="283"/>
    </row>
    <row r="13" spans="1:38" ht="15.75">
      <c r="B13" s="3" t="s">
        <v>523</v>
      </c>
      <c r="C13" s="364"/>
      <c r="D13" s="82">
        <v>8476.7000000000007</v>
      </c>
      <c r="E13" s="364"/>
      <c r="F13" s="20">
        <f>D94</f>
        <v>9647.2999999999993</v>
      </c>
      <c r="G13" s="20"/>
      <c r="H13" s="20">
        <f>F94</f>
        <v>8821.9</v>
      </c>
      <c r="I13" s="364"/>
      <c r="J13" s="20"/>
      <c r="K13" s="364"/>
      <c r="L13" s="20"/>
      <c r="M13" s="364"/>
      <c r="N13" s="20"/>
      <c r="O13" s="364"/>
      <c r="P13" s="20"/>
      <c r="Q13" s="364"/>
      <c r="R13" s="20"/>
      <c r="S13" s="20"/>
      <c r="T13" s="20"/>
      <c r="U13" s="20"/>
      <c r="V13" s="20"/>
      <c r="W13" s="20"/>
      <c r="X13" s="20"/>
      <c r="Y13" s="20"/>
      <c r="Z13" s="20"/>
      <c r="AA13" s="364"/>
      <c r="AB13" s="1041"/>
      <c r="AC13" s="20">
        <f>D13</f>
        <v>8476.7000000000007</v>
      </c>
      <c r="AD13" s="364"/>
      <c r="AE13" s="1041"/>
      <c r="AF13" s="1943">
        <v>7830.5</v>
      </c>
      <c r="AG13" s="364"/>
      <c r="AH13" s="1031"/>
      <c r="AI13" s="20">
        <f>+AC13-AF13</f>
        <v>646.20000000000073</v>
      </c>
      <c r="AJ13" s="364"/>
      <c r="AK13" s="74">
        <f>AI13/AF13</f>
        <v>8.2523465934487034E-2</v>
      </c>
      <c r="AL13" s="1526"/>
    </row>
    <row r="14" spans="1:38" ht="15.75">
      <c r="B14" s="3"/>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1235"/>
      <c r="AB14" s="364"/>
      <c r="AC14" s="364"/>
      <c r="AD14" s="364"/>
      <c r="AE14" s="1041"/>
      <c r="AF14" s="364"/>
      <c r="AG14" s="1033"/>
      <c r="AH14" s="364"/>
      <c r="AI14" s="364"/>
      <c r="AJ14" s="364"/>
      <c r="AK14" s="283"/>
      <c r="AL14" s="1526"/>
    </row>
    <row r="15" spans="1:38" ht="15" customHeight="1">
      <c r="A15" s="35"/>
      <c r="B15" s="3" t="s">
        <v>114</v>
      </c>
      <c r="C15" s="291"/>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1032"/>
      <c r="AC15" s="364"/>
      <c r="AD15" s="364"/>
      <c r="AE15" s="1046"/>
      <c r="AF15" s="364"/>
      <c r="AG15" s="1227"/>
      <c r="AH15" s="364"/>
      <c r="AI15" s="530"/>
      <c r="AJ15" s="530"/>
      <c r="AK15" s="535"/>
      <c r="AL15" s="1526"/>
    </row>
    <row r="16" spans="1:38" ht="7.5" customHeight="1">
      <c r="A16" s="35"/>
      <c r="B16" s="291"/>
      <c r="C16" s="291"/>
      <c r="D16" s="275"/>
      <c r="E16" s="268"/>
      <c r="F16" s="275"/>
      <c r="G16" s="275"/>
      <c r="H16" s="275"/>
      <c r="I16" s="268"/>
      <c r="J16" s="275"/>
      <c r="K16" s="268"/>
      <c r="L16" s="275"/>
      <c r="M16" s="268"/>
      <c r="N16" s="275"/>
      <c r="O16" s="268"/>
      <c r="P16" s="275"/>
      <c r="Q16" s="268"/>
      <c r="R16" s="275"/>
      <c r="S16" s="268"/>
      <c r="T16" s="275"/>
      <c r="U16" s="268"/>
      <c r="V16" s="275"/>
      <c r="W16" s="264"/>
      <c r="X16" s="275"/>
      <c r="Y16" s="264"/>
      <c r="Z16" s="275"/>
      <c r="AA16" s="268"/>
      <c r="AB16" s="667"/>
      <c r="AC16" s="264"/>
      <c r="AD16" s="1778"/>
      <c r="AE16" s="1047"/>
      <c r="AF16" s="275"/>
      <c r="AG16" s="1227"/>
      <c r="AH16" s="364"/>
      <c r="AI16" s="264"/>
      <c r="AJ16" s="264"/>
      <c r="AK16" s="374"/>
      <c r="AL16" s="1526"/>
    </row>
    <row r="17" spans="1:38" ht="15" customHeight="1">
      <c r="A17" s="35"/>
      <c r="B17" s="1216" t="s">
        <v>383</v>
      </c>
      <c r="C17" s="291"/>
      <c r="D17" s="287"/>
      <c r="E17" s="268"/>
      <c r="F17" s="275"/>
      <c r="G17" s="275"/>
      <c r="H17" s="275"/>
      <c r="I17" s="268"/>
      <c r="J17" s="275"/>
      <c r="K17" s="268"/>
      <c r="L17" s="268"/>
      <c r="M17" s="268"/>
      <c r="N17" s="268"/>
      <c r="O17" s="268"/>
      <c r="P17" s="268"/>
      <c r="Q17" s="268"/>
      <c r="R17" s="383"/>
      <c r="S17" s="268"/>
      <c r="T17" s="383"/>
      <c r="U17" s="268"/>
      <c r="V17" s="383"/>
      <c r="W17" s="264"/>
      <c r="X17" s="383"/>
      <c r="Y17" s="264"/>
      <c r="Z17" s="383"/>
      <c r="AA17" s="268"/>
      <c r="AB17" s="667"/>
      <c r="AC17" s="264"/>
      <c r="AD17" s="264"/>
      <c r="AE17" s="524"/>
      <c r="AF17" s="264"/>
      <c r="AG17" s="519"/>
      <c r="AH17" s="264"/>
      <c r="AI17" s="264"/>
      <c r="AJ17" s="264"/>
      <c r="AK17" s="283"/>
      <c r="AL17" s="1526"/>
    </row>
    <row r="18" spans="1:38" ht="15" customHeight="1">
      <c r="A18" s="35"/>
      <c r="B18" s="350" t="s">
        <v>384</v>
      </c>
      <c r="C18" s="291"/>
      <c r="D18" s="287" t="s">
        <v>103</v>
      </c>
      <c r="E18" s="268"/>
      <c r="F18" s="275"/>
      <c r="G18" s="275"/>
      <c r="H18" s="275"/>
      <c r="I18" s="268"/>
      <c r="J18" s="275"/>
      <c r="K18" s="268"/>
      <c r="L18" s="268"/>
      <c r="M18" s="268"/>
      <c r="N18" s="268"/>
      <c r="O18" s="268"/>
      <c r="P18" s="268"/>
      <c r="Q18" s="268"/>
      <c r="R18" s="383"/>
      <c r="S18" s="268"/>
      <c r="T18" s="383"/>
      <c r="U18" s="268"/>
      <c r="V18" s="383"/>
      <c r="W18" s="264"/>
      <c r="X18" s="383"/>
      <c r="Y18" s="264"/>
      <c r="Z18" s="383"/>
      <c r="AA18" s="268"/>
      <c r="AB18" s="667"/>
      <c r="AC18" s="264"/>
      <c r="AD18" s="264"/>
      <c r="AE18" s="524"/>
      <c r="AF18" s="264"/>
      <c r="AG18" s="519"/>
      <c r="AH18" s="264"/>
      <c r="AI18" s="264"/>
      <c r="AJ18" s="264"/>
      <c r="AK18" s="283"/>
      <c r="AL18" s="1526"/>
    </row>
    <row r="19" spans="1:38" ht="15" customHeight="1">
      <c r="A19" s="35"/>
      <c r="B19" s="350" t="s">
        <v>1400</v>
      </c>
      <c r="C19" s="291"/>
      <c r="D19" s="287">
        <v>0</v>
      </c>
      <c r="E19" s="287"/>
      <c r="F19" s="287">
        <v>0</v>
      </c>
      <c r="G19" s="287"/>
      <c r="H19" s="287">
        <f>$AC19-F19-D19</f>
        <v>0</v>
      </c>
      <c r="I19" s="264"/>
      <c r="J19" s="287"/>
      <c r="K19" s="553"/>
      <c r="L19" s="287"/>
      <c r="M19" s="553"/>
      <c r="N19" s="287"/>
      <c r="O19" s="606"/>
      <c r="P19" s="287"/>
      <c r="Q19" s="606"/>
      <c r="R19" s="287"/>
      <c r="S19" s="287"/>
      <c r="T19" s="287"/>
      <c r="U19" s="287"/>
      <c r="V19" s="287"/>
      <c r="W19" s="606"/>
      <c r="X19" s="287"/>
      <c r="Y19" s="287"/>
      <c r="Z19" s="287"/>
      <c r="AA19" s="268"/>
      <c r="AB19" s="667"/>
      <c r="AC19" s="531">
        <v>0</v>
      </c>
      <c r="AD19" s="287"/>
      <c r="AE19" s="1763"/>
      <c r="AF19" s="531">
        <v>0</v>
      </c>
      <c r="AG19" s="519"/>
      <c r="AH19" s="264"/>
      <c r="AI19" s="264">
        <f>ROUND(SUM(+AC19-AF19),1)</f>
        <v>0</v>
      </c>
      <c r="AJ19" s="264"/>
      <c r="AK19" s="266">
        <f>ROUND(IF(AF19=0,0,AI19/ABS(AF19)),3)</f>
        <v>0</v>
      </c>
      <c r="AL19" s="1526"/>
    </row>
    <row r="20" spans="1:38" ht="15" customHeight="1">
      <c r="A20" s="35"/>
      <c r="B20" s="350" t="s">
        <v>387</v>
      </c>
      <c r="C20" s="291"/>
      <c r="D20" s="287" t="s">
        <v>103</v>
      </c>
      <c r="E20" s="268"/>
      <c r="F20" s="287"/>
      <c r="G20" s="287"/>
      <c r="H20" s="287"/>
      <c r="I20" s="268"/>
      <c r="J20" s="287"/>
      <c r="K20" s="268"/>
      <c r="L20" s="287"/>
      <c r="M20" s="268"/>
      <c r="N20" s="287"/>
      <c r="O20" s="268"/>
      <c r="P20" s="287"/>
      <c r="Q20" s="268"/>
      <c r="R20" s="287"/>
      <c r="S20" s="268"/>
      <c r="T20" s="287"/>
      <c r="U20" s="268"/>
      <c r="V20" s="287"/>
      <c r="W20" s="264"/>
      <c r="X20" s="287"/>
      <c r="Y20" s="264"/>
      <c r="Z20" s="287"/>
      <c r="AA20" s="268"/>
      <c r="AB20" s="667"/>
      <c r="AC20" s="264" t="s">
        <v>103</v>
      </c>
      <c r="AD20" s="264"/>
      <c r="AE20" s="524"/>
      <c r="AF20" s="264" t="s">
        <v>103</v>
      </c>
      <c r="AG20" s="519"/>
      <c r="AH20" s="264"/>
      <c r="AI20" s="264"/>
      <c r="AJ20" s="264"/>
      <c r="AK20" s="283"/>
      <c r="AL20" s="1526"/>
    </row>
    <row r="21" spans="1:38" ht="15" customHeight="1">
      <c r="A21" s="35"/>
      <c r="B21" s="350" t="s">
        <v>1401</v>
      </c>
      <c r="C21" s="291"/>
      <c r="D21" s="287">
        <v>9.9</v>
      </c>
      <c r="E21" s="268"/>
      <c r="F21" s="287">
        <v>54.4</v>
      </c>
      <c r="G21" s="287"/>
      <c r="H21" s="287">
        <f t="shared" ref="H21:H51" si="0">$AC21-F21-D21</f>
        <v>0.20000000000000107</v>
      </c>
      <c r="I21" s="268"/>
      <c r="J21" s="287"/>
      <c r="K21" s="553"/>
      <c r="L21" s="287"/>
      <c r="M21" s="553"/>
      <c r="N21" s="287"/>
      <c r="O21" s="553"/>
      <c r="P21" s="287"/>
      <c r="Q21" s="553"/>
      <c r="R21" s="287"/>
      <c r="S21" s="553"/>
      <c r="T21" s="287"/>
      <c r="U21" s="553"/>
      <c r="V21" s="287"/>
      <c r="W21" s="553"/>
      <c r="X21" s="287"/>
      <c r="Y21" s="553"/>
      <c r="Z21" s="287"/>
      <c r="AA21" s="264"/>
      <c r="AB21" s="523"/>
      <c r="AC21" s="531">
        <v>64.5</v>
      </c>
      <c r="AD21" s="287"/>
      <c r="AE21" s="1763"/>
      <c r="AF21" s="531">
        <v>52.8</v>
      </c>
      <c r="AG21" s="519"/>
      <c r="AH21" s="264"/>
      <c r="AI21" s="264">
        <f>ROUND(SUM(+AC21-AF21),1)</f>
        <v>11.7</v>
      </c>
      <c r="AJ21" s="264"/>
      <c r="AK21" s="266">
        <f>ROUND(IF(AF21=0,0,AI21/ABS(AF21)),3)</f>
        <v>0.222</v>
      </c>
      <c r="AL21" s="1526"/>
    </row>
    <row r="22" spans="1:38" ht="15" customHeight="1">
      <c r="A22" s="35"/>
      <c r="B22" s="350" t="s">
        <v>1402</v>
      </c>
      <c r="C22" s="291"/>
      <c r="D22" s="287">
        <v>0</v>
      </c>
      <c r="E22" s="268"/>
      <c r="F22" s="287">
        <v>0</v>
      </c>
      <c r="G22" s="287"/>
      <c r="H22" s="287">
        <f t="shared" si="0"/>
        <v>0</v>
      </c>
      <c r="I22" s="268"/>
      <c r="J22" s="287"/>
      <c r="K22" s="553"/>
      <c r="L22" s="287"/>
      <c r="M22" s="553"/>
      <c r="N22" s="287"/>
      <c r="O22" s="553"/>
      <c r="P22" s="287"/>
      <c r="Q22" s="553"/>
      <c r="R22" s="287"/>
      <c r="S22" s="553"/>
      <c r="T22" s="287"/>
      <c r="U22" s="553"/>
      <c r="V22" s="287"/>
      <c r="W22" s="553"/>
      <c r="X22" s="287"/>
      <c r="Y22" s="553"/>
      <c r="Z22" s="287"/>
      <c r="AA22" s="264"/>
      <c r="AB22" s="523"/>
      <c r="AC22" s="531">
        <v>0</v>
      </c>
      <c r="AD22" s="287"/>
      <c r="AE22" s="1763"/>
      <c r="AF22" s="531">
        <v>0</v>
      </c>
      <c r="AG22" s="519"/>
      <c r="AH22" s="264"/>
      <c r="AI22" s="264">
        <f t="shared" ref="AI22:AI51" si="1">ROUND(SUM(+AC22-AF22),1)</f>
        <v>0</v>
      </c>
      <c r="AJ22" s="264"/>
      <c r="AK22" s="266">
        <f>ROUND(IF(AF22=0,0,AI22/ABS(AF22)),3)</f>
        <v>0</v>
      </c>
      <c r="AL22" s="1526"/>
    </row>
    <row r="23" spans="1:38" ht="15" customHeight="1">
      <c r="A23" s="35"/>
      <c r="B23" s="350" t="s">
        <v>1403</v>
      </c>
      <c r="C23" s="291"/>
      <c r="D23" s="287">
        <v>0</v>
      </c>
      <c r="E23" s="268"/>
      <c r="F23" s="287">
        <v>0</v>
      </c>
      <c r="G23" s="287"/>
      <c r="H23" s="287">
        <f t="shared" si="0"/>
        <v>0</v>
      </c>
      <c r="I23" s="268"/>
      <c r="J23" s="287"/>
      <c r="K23" s="553"/>
      <c r="L23" s="287"/>
      <c r="M23" s="553"/>
      <c r="N23" s="287"/>
      <c r="O23" s="553"/>
      <c r="P23" s="287"/>
      <c r="Q23" s="553"/>
      <c r="R23" s="287"/>
      <c r="S23" s="553"/>
      <c r="T23" s="287"/>
      <c r="U23" s="553"/>
      <c r="V23" s="287"/>
      <c r="W23" s="553"/>
      <c r="X23" s="287"/>
      <c r="Y23" s="553"/>
      <c r="Z23" s="287"/>
      <c r="AA23" s="264"/>
      <c r="AB23" s="523"/>
      <c r="AC23" s="531">
        <v>0</v>
      </c>
      <c r="AD23" s="287"/>
      <c r="AE23" s="1763"/>
      <c r="AF23" s="531">
        <v>0</v>
      </c>
      <c r="AG23" s="519"/>
      <c r="AH23" s="264"/>
      <c r="AI23" s="264">
        <f t="shared" si="1"/>
        <v>0</v>
      </c>
      <c r="AJ23" s="264"/>
      <c r="AK23" s="266">
        <f>ROUND(IF(AF23=0,0,AI23/ABS(AF23)),3)</f>
        <v>0</v>
      </c>
      <c r="AL23" s="1526"/>
    </row>
    <row r="24" spans="1:38" ht="15" customHeight="1">
      <c r="A24" s="35"/>
      <c r="B24" s="350" t="s">
        <v>484</v>
      </c>
      <c r="C24" s="291"/>
      <c r="D24" s="287">
        <v>0</v>
      </c>
      <c r="E24" s="268"/>
      <c r="F24" s="287">
        <v>0</v>
      </c>
      <c r="G24" s="287"/>
      <c r="H24" s="287">
        <f t="shared" si="0"/>
        <v>0</v>
      </c>
      <c r="I24" s="268"/>
      <c r="J24" s="287"/>
      <c r="K24" s="553"/>
      <c r="L24" s="287"/>
      <c r="M24" s="553"/>
      <c r="N24" s="287"/>
      <c r="O24" s="553"/>
      <c r="P24" s="287"/>
      <c r="Q24" s="553"/>
      <c r="R24" s="287"/>
      <c r="S24" s="553"/>
      <c r="T24" s="287"/>
      <c r="U24" s="553"/>
      <c r="V24" s="287"/>
      <c r="W24" s="553"/>
      <c r="X24" s="287"/>
      <c r="Y24" s="553"/>
      <c r="Z24" s="287"/>
      <c r="AA24" s="264"/>
      <c r="AB24" s="523"/>
      <c r="AC24" s="531">
        <v>0</v>
      </c>
      <c r="AD24" s="287"/>
      <c r="AE24" s="1763"/>
      <c r="AF24" s="531">
        <v>0</v>
      </c>
      <c r="AG24" s="519"/>
      <c r="AH24" s="264"/>
      <c r="AI24" s="264">
        <f t="shared" si="1"/>
        <v>0</v>
      </c>
      <c r="AJ24" s="264"/>
      <c r="AK24" s="266">
        <f>ROUND(IF(AF24=0,0,AI24/ABS(AF24)),3)</f>
        <v>0</v>
      </c>
      <c r="AL24" s="1526"/>
    </row>
    <row r="25" spans="1:38" ht="15" customHeight="1">
      <c r="A25" s="35"/>
      <c r="B25" s="350" t="s">
        <v>392</v>
      </c>
      <c r="C25" s="291"/>
      <c r="D25" s="287"/>
      <c r="E25" s="268"/>
      <c r="F25" s="287"/>
      <c r="G25" s="287"/>
      <c r="H25" s="287"/>
      <c r="I25" s="268"/>
      <c r="J25" s="287"/>
      <c r="K25" s="268"/>
      <c r="L25" s="287"/>
      <c r="M25" s="268"/>
      <c r="N25" s="287"/>
      <c r="O25" s="268"/>
      <c r="P25" s="287"/>
      <c r="Q25" s="268"/>
      <c r="R25" s="287"/>
      <c r="S25" s="268"/>
      <c r="T25" s="287"/>
      <c r="U25" s="268"/>
      <c r="V25" s="287"/>
      <c r="W25" s="264"/>
      <c r="X25" s="287"/>
      <c r="Y25" s="264"/>
      <c r="Z25" s="287"/>
      <c r="AA25" s="268"/>
      <c r="AB25" s="667"/>
      <c r="AC25" s="264" t="s">
        <v>103</v>
      </c>
      <c r="AD25" s="264"/>
      <c r="AE25" s="524"/>
      <c r="AF25" s="264" t="s">
        <v>103</v>
      </c>
      <c r="AG25" s="519"/>
      <c r="AH25" s="264"/>
      <c r="AI25" s="264"/>
      <c r="AJ25" s="264"/>
      <c r="AK25" s="266"/>
      <c r="AL25" s="1526"/>
    </row>
    <row r="26" spans="1:38" ht="15" customHeight="1">
      <c r="A26" s="35"/>
      <c r="B26" s="350" t="s">
        <v>1405</v>
      </c>
      <c r="C26" s="291"/>
      <c r="D26" s="287">
        <v>0</v>
      </c>
      <c r="E26" s="268"/>
      <c r="F26" s="287">
        <v>0</v>
      </c>
      <c r="G26" s="287"/>
      <c r="H26" s="287">
        <f t="shared" si="0"/>
        <v>0</v>
      </c>
      <c r="I26" s="268"/>
      <c r="J26" s="287"/>
      <c r="K26" s="553"/>
      <c r="L26" s="287"/>
      <c r="M26" s="553"/>
      <c r="N26" s="287"/>
      <c r="O26" s="553"/>
      <c r="P26" s="287"/>
      <c r="Q26" s="553"/>
      <c r="R26" s="287"/>
      <c r="S26" s="553"/>
      <c r="T26" s="287"/>
      <c r="U26" s="553"/>
      <c r="V26" s="287"/>
      <c r="W26" s="553"/>
      <c r="X26" s="287"/>
      <c r="Y26" s="553"/>
      <c r="Z26" s="287"/>
      <c r="AA26" s="264"/>
      <c r="AB26" s="523"/>
      <c r="AC26" s="531">
        <v>0</v>
      </c>
      <c r="AD26" s="287"/>
      <c r="AE26" s="1763"/>
      <c r="AF26" s="531">
        <v>0</v>
      </c>
      <c r="AG26" s="519"/>
      <c r="AH26" s="264"/>
      <c r="AI26" s="264">
        <f t="shared" si="1"/>
        <v>0</v>
      </c>
      <c r="AJ26" s="264"/>
      <c r="AK26" s="266">
        <f t="shared" ref="AK26:AK32" si="2">ROUND(IF(AF26=0,0,AI26/ABS(AF26)),3)</f>
        <v>0</v>
      </c>
      <c r="AL26" s="1526"/>
    </row>
    <row r="27" spans="1:38" ht="15" customHeight="1">
      <c r="A27" s="35"/>
      <c r="B27" s="350" t="s">
        <v>487</v>
      </c>
      <c r="C27" s="291"/>
      <c r="D27" s="287">
        <v>0</v>
      </c>
      <c r="E27" s="268"/>
      <c r="F27" s="287">
        <v>0</v>
      </c>
      <c r="G27" s="287"/>
      <c r="H27" s="287">
        <f t="shared" si="0"/>
        <v>0</v>
      </c>
      <c r="I27" s="268"/>
      <c r="J27" s="287"/>
      <c r="K27" s="553"/>
      <c r="L27" s="287"/>
      <c r="M27" s="553"/>
      <c r="N27" s="287"/>
      <c r="O27" s="553"/>
      <c r="P27" s="287"/>
      <c r="Q27" s="553"/>
      <c r="R27" s="287"/>
      <c r="S27" s="553"/>
      <c r="T27" s="287"/>
      <c r="U27" s="553"/>
      <c r="V27" s="287"/>
      <c r="W27" s="553"/>
      <c r="X27" s="287"/>
      <c r="Y27" s="553"/>
      <c r="Z27" s="287"/>
      <c r="AA27" s="264"/>
      <c r="AB27" s="523"/>
      <c r="AC27" s="531">
        <v>0</v>
      </c>
      <c r="AD27" s="287"/>
      <c r="AE27" s="1763"/>
      <c r="AF27" s="531">
        <v>0</v>
      </c>
      <c r="AG27" s="519"/>
      <c r="AH27" s="264"/>
      <c r="AI27" s="264">
        <f t="shared" si="1"/>
        <v>0</v>
      </c>
      <c r="AJ27" s="264"/>
      <c r="AK27" s="266">
        <f t="shared" si="2"/>
        <v>0</v>
      </c>
      <c r="AL27" s="1526"/>
    </row>
    <row r="28" spans="1:38" ht="15" customHeight="1">
      <c r="A28" s="35"/>
      <c r="B28" s="350" t="s">
        <v>488</v>
      </c>
      <c r="C28" s="291"/>
      <c r="D28" s="287">
        <v>0</v>
      </c>
      <c r="E28" s="268"/>
      <c r="F28" s="287">
        <v>0</v>
      </c>
      <c r="G28" s="287"/>
      <c r="H28" s="287">
        <f t="shared" si="0"/>
        <v>0</v>
      </c>
      <c r="I28" s="268"/>
      <c r="J28" s="287"/>
      <c r="K28" s="553"/>
      <c r="L28" s="287"/>
      <c r="M28" s="553"/>
      <c r="N28" s="287"/>
      <c r="O28" s="553"/>
      <c r="P28" s="287"/>
      <c r="Q28" s="553"/>
      <c r="R28" s="287"/>
      <c r="S28" s="553"/>
      <c r="T28" s="287"/>
      <c r="U28" s="553"/>
      <c r="V28" s="287"/>
      <c r="W28" s="553"/>
      <c r="X28" s="287"/>
      <c r="Y28" s="553"/>
      <c r="Z28" s="287"/>
      <c r="AA28" s="264"/>
      <c r="AB28" s="523"/>
      <c r="AC28" s="531">
        <v>0</v>
      </c>
      <c r="AD28" s="287"/>
      <c r="AE28" s="1763"/>
      <c r="AF28" s="531">
        <v>0</v>
      </c>
      <c r="AG28" s="519"/>
      <c r="AH28" s="264"/>
      <c r="AI28" s="264">
        <f t="shared" si="1"/>
        <v>0</v>
      </c>
      <c r="AJ28" s="264"/>
      <c r="AK28" s="266">
        <f t="shared" si="2"/>
        <v>0</v>
      </c>
      <c r="AL28" s="1526"/>
    </row>
    <row r="29" spans="1:38" ht="15" customHeight="1">
      <c r="A29" s="35"/>
      <c r="B29" s="350" t="s">
        <v>1406</v>
      </c>
      <c r="C29" s="291"/>
      <c r="D29" s="287">
        <v>0</v>
      </c>
      <c r="E29" s="268"/>
      <c r="F29" s="287">
        <v>0</v>
      </c>
      <c r="G29" s="287"/>
      <c r="H29" s="287">
        <f t="shared" si="0"/>
        <v>0</v>
      </c>
      <c r="I29" s="268"/>
      <c r="J29" s="287"/>
      <c r="K29" s="553"/>
      <c r="L29" s="287"/>
      <c r="M29" s="553"/>
      <c r="N29" s="287"/>
      <c r="O29" s="553"/>
      <c r="P29" s="287"/>
      <c r="Q29" s="553"/>
      <c r="R29" s="287"/>
      <c r="S29" s="553"/>
      <c r="T29" s="287"/>
      <c r="U29" s="553"/>
      <c r="V29" s="287"/>
      <c r="W29" s="553"/>
      <c r="X29" s="287"/>
      <c r="Y29" s="553"/>
      <c r="Z29" s="287"/>
      <c r="AA29" s="264"/>
      <c r="AB29" s="523"/>
      <c r="AC29" s="531">
        <v>0</v>
      </c>
      <c r="AD29" s="287"/>
      <c r="AE29" s="1763"/>
      <c r="AF29" s="531">
        <v>0</v>
      </c>
      <c r="AG29" s="519"/>
      <c r="AH29" s="264"/>
      <c r="AI29" s="264">
        <f t="shared" si="1"/>
        <v>0</v>
      </c>
      <c r="AJ29" s="264"/>
      <c r="AK29" s="266">
        <f t="shared" si="2"/>
        <v>0</v>
      </c>
      <c r="AL29" s="1526"/>
    </row>
    <row r="30" spans="1:38" ht="15" customHeight="1">
      <c r="A30" s="35"/>
      <c r="B30" s="350" t="s">
        <v>1407</v>
      </c>
      <c r="C30" s="291"/>
      <c r="D30" s="287">
        <v>0</v>
      </c>
      <c r="E30" s="268"/>
      <c r="F30" s="287">
        <v>0</v>
      </c>
      <c r="G30" s="287"/>
      <c r="H30" s="287">
        <f t="shared" si="0"/>
        <v>0</v>
      </c>
      <c r="I30" s="268"/>
      <c r="J30" s="287"/>
      <c r="K30" s="553"/>
      <c r="L30" s="287"/>
      <c r="M30" s="553"/>
      <c r="N30" s="287"/>
      <c r="O30" s="553"/>
      <c r="P30" s="287"/>
      <c r="Q30" s="553"/>
      <c r="R30" s="287"/>
      <c r="S30" s="553"/>
      <c r="T30" s="287"/>
      <c r="U30" s="553"/>
      <c r="V30" s="287"/>
      <c r="W30" s="553"/>
      <c r="X30" s="287"/>
      <c r="Y30" s="553"/>
      <c r="Z30" s="287"/>
      <c r="AA30" s="264"/>
      <c r="AB30" s="523"/>
      <c r="AC30" s="531">
        <v>0</v>
      </c>
      <c r="AD30" s="287"/>
      <c r="AE30" s="1763"/>
      <c r="AF30" s="531">
        <v>0</v>
      </c>
      <c r="AG30" s="519"/>
      <c r="AH30" s="264"/>
      <c r="AI30" s="264">
        <f t="shared" si="1"/>
        <v>0</v>
      </c>
      <c r="AJ30" s="264"/>
      <c r="AK30" s="266">
        <f t="shared" si="2"/>
        <v>0</v>
      </c>
      <c r="AL30" s="1526"/>
    </row>
    <row r="31" spans="1:38" ht="15" customHeight="1">
      <c r="A31" s="35"/>
      <c r="B31" s="350" t="s">
        <v>1408</v>
      </c>
      <c r="C31" s="291"/>
      <c r="D31" s="287">
        <v>0.3</v>
      </c>
      <c r="E31" s="268"/>
      <c r="F31" s="287">
        <v>0.10000000000000003</v>
      </c>
      <c r="G31" s="287"/>
      <c r="H31" s="287">
        <f t="shared" si="0"/>
        <v>0.29999999999999988</v>
      </c>
      <c r="I31" s="268"/>
      <c r="J31" s="287"/>
      <c r="K31" s="553"/>
      <c r="L31" s="287"/>
      <c r="M31" s="553"/>
      <c r="N31" s="287"/>
      <c r="O31" s="553"/>
      <c r="P31" s="287"/>
      <c r="Q31" s="553"/>
      <c r="R31" s="287"/>
      <c r="S31" s="553"/>
      <c r="T31" s="287"/>
      <c r="U31" s="553"/>
      <c r="V31" s="287"/>
      <c r="W31" s="553"/>
      <c r="X31" s="287"/>
      <c r="Y31" s="553"/>
      <c r="Z31" s="287"/>
      <c r="AA31" s="264"/>
      <c r="AB31" s="523"/>
      <c r="AC31" s="531">
        <v>0.7</v>
      </c>
      <c r="AD31" s="287"/>
      <c r="AE31" s="1763"/>
      <c r="AF31" s="531">
        <v>2.8</v>
      </c>
      <c r="AG31" s="519"/>
      <c r="AH31" s="264"/>
      <c r="AI31" s="264">
        <f>ROUND(SUM(+AC31-AF31),1)</f>
        <v>-2.1</v>
      </c>
      <c r="AJ31" s="264"/>
      <c r="AK31" s="266">
        <f t="shared" si="2"/>
        <v>-0.75</v>
      </c>
      <c r="AL31" s="1526"/>
    </row>
    <row r="32" spans="1:38" ht="15" customHeight="1">
      <c r="A32" s="35"/>
      <c r="B32" s="350" t="s">
        <v>1431</v>
      </c>
      <c r="C32" s="291"/>
      <c r="D32" s="287">
        <v>32.9</v>
      </c>
      <c r="E32" s="268"/>
      <c r="F32" s="287">
        <v>31.699999999999996</v>
      </c>
      <c r="G32" s="287"/>
      <c r="H32" s="287">
        <f t="shared" si="0"/>
        <v>32.900000000000013</v>
      </c>
      <c r="I32" s="268"/>
      <c r="J32" s="287"/>
      <c r="K32" s="553"/>
      <c r="L32" s="287"/>
      <c r="M32" s="553"/>
      <c r="N32" s="287"/>
      <c r="O32" s="553"/>
      <c r="P32" s="287"/>
      <c r="Q32" s="553"/>
      <c r="R32" s="287"/>
      <c r="S32" s="553"/>
      <c r="T32" s="287"/>
      <c r="U32" s="553"/>
      <c r="V32" s="287"/>
      <c r="W32" s="553"/>
      <c r="X32" s="287"/>
      <c r="Y32" s="553"/>
      <c r="Z32" s="287"/>
      <c r="AA32" s="264"/>
      <c r="AB32" s="523"/>
      <c r="AC32" s="531">
        <v>97.5</v>
      </c>
      <c r="AD32" s="287"/>
      <c r="AE32" s="1763"/>
      <c r="AF32" s="531">
        <v>108.9</v>
      </c>
      <c r="AG32" s="519"/>
      <c r="AH32" s="264"/>
      <c r="AI32" s="264">
        <f t="shared" si="1"/>
        <v>-11.4</v>
      </c>
      <c r="AJ32" s="264"/>
      <c r="AK32" s="266">
        <f t="shared" si="2"/>
        <v>-0.105</v>
      </c>
      <c r="AL32" s="1526"/>
    </row>
    <row r="33" spans="1:38" ht="15" customHeight="1">
      <c r="A33" s="35"/>
      <c r="B33" s="350" t="s">
        <v>1409</v>
      </c>
      <c r="C33" s="291"/>
      <c r="D33" s="287">
        <v>0</v>
      </c>
      <c r="E33" s="268"/>
      <c r="F33" s="287">
        <v>0</v>
      </c>
      <c r="G33" s="287"/>
      <c r="H33" s="287">
        <f t="shared" si="0"/>
        <v>0</v>
      </c>
      <c r="I33" s="268"/>
      <c r="J33" s="287"/>
      <c r="K33" s="553"/>
      <c r="L33" s="287"/>
      <c r="M33" s="553"/>
      <c r="N33" s="287"/>
      <c r="O33" s="553"/>
      <c r="P33" s="287"/>
      <c r="Q33" s="553"/>
      <c r="R33" s="287"/>
      <c r="S33" s="553"/>
      <c r="T33" s="287"/>
      <c r="U33" s="553"/>
      <c r="V33" s="287"/>
      <c r="W33" s="553"/>
      <c r="X33" s="287"/>
      <c r="Y33" s="553"/>
      <c r="Z33" s="287"/>
      <c r="AA33" s="264"/>
      <c r="AB33" s="523"/>
      <c r="AC33" s="531">
        <v>0</v>
      </c>
      <c r="AD33" s="287"/>
      <c r="AE33" s="1763"/>
      <c r="AF33" s="531">
        <v>0</v>
      </c>
      <c r="AG33" s="519"/>
      <c r="AH33" s="264"/>
      <c r="AI33" s="264">
        <f>ROUND(SUM(+AC33-AF33),1)</f>
        <v>0</v>
      </c>
      <c r="AJ33" s="264"/>
      <c r="AK33" s="266">
        <f>ROUND(IF(AF33=0,0,AI33/ABS(AF33)),3)</f>
        <v>0</v>
      </c>
      <c r="AL33" s="1526"/>
    </row>
    <row r="34" spans="1:38" ht="15" customHeight="1">
      <c r="A34" s="35"/>
      <c r="B34" s="350" t="s">
        <v>408</v>
      </c>
      <c r="C34" s="291"/>
      <c r="D34" s="287"/>
      <c r="E34" s="268"/>
      <c r="F34" s="287"/>
      <c r="G34" s="287"/>
      <c r="H34" s="287"/>
      <c r="I34" s="268"/>
      <c r="J34" s="287"/>
      <c r="K34" s="268"/>
      <c r="L34" s="287"/>
      <c r="M34" s="268"/>
      <c r="N34" s="287"/>
      <c r="O34" s="268"/>
      <c r="P34" s="287"/>
      <c r="Q34" s="268"/>
      <c r="R34" s="287"/>
      <c r="S34" s="268"/>
      <c r="T34" s="287"/>
      <c r="U34" s="268"/>
      <c r="V34" s="287"/>
      <c r="W34" s="264"/>
      <c r="X34" s="287"/>
      <c r="Y34" s="264"/>
      <c r="Z34" s="287"/>
      <c r="AA34" s="268"/>
      <c r="AB34" s="667"/>
      <c r="AC34" s="264" t="s">
        <v>103</v>
      </c>
      <c r="AD34" s="264"/>
      <c r="AE34" s="524"/>
      <c r="AF34" s="264" t="s">
        <v>103</v>
      </c>
      <c r="AG34" s="519"/>
      <c r="AH34" s="264"/>
      <c r="AI34" s="264"/>
      <c r="AJ34" s="264"/>
      <c r="AK34" s="283"/>
      <c r="AL34" s="1526"/>
    </row>
    <row r="35" spans="1:38" ht="15" customHeight="1">
      <c r="A35" s="35"/>
      <c r="B35" s="350" t="s">
        <v>1439</v>
      </c>
      <c r="C35" s="291"/>
      <c r="D35" s="287">
        <v>0</v>
      </c>
      <c r="E35" s="268"/>
      <c r="F35" s="287">
        <v>0</v>
      </c>
      <c r="G35" s="287"/>
      <c r="H35" s="287">
        <f t="shared" si="0"/>
        <v>0</v>
      </c>
      <c r="I35" s="268"/>
      <c r="J35" s="287"/>
      <c r="K35" s="553"/>
      <c r="L35" s="287"/>
      <c r="M35" s="553"/>
      <c r="N35" s="287"/>
      <c r="O35" s="553"/>
      <c r="P35" s="287"/>
      <c r="Q35" s="553"/>
      <c r="R35" s="287"/>
      <c r="S35" s="553"/>
      <c r="T35" s="287"/>
      <c r="U35" s="553"/>
      <c r="V35" s="287"/>
      <c r="W35" s="553"/>
      <c r="X35" s="287"/>
      <c r="Y35" s="553"/>
      <c r="Z35" s="287"/>
      <c r="AA35" s="264"/>
      <c r="AB35" s="523"/>
      <c r="AC35" s="531">
        <v>0</v>
      </c>
      <c r="AD35" s="287"/>
      <c r="AE35" s="1763"/>
      <c r="AF35" s="531">
        <v>0</v>
      </c>
      <c r="AG35" s="519"/>
      <c r="AH35" s="264"/>
      <c r="AI35" s="264">
        <f t="shared" si="1"/>
        <v>0</v>
      </c>
      <c r="AJ35" s="264"/>
      <c r="AK35" s="266">
        <f t="shared" ref="AK35:AK39" si="3">ROUND(IF(AF35=0,0,AI35/ABS(AF35)),3)</f>
        <v>0</v>
      </c>
      <c r="AL35" s="1526"/>
    </row>
    <row r="36" spans="1:38" ht="15" customHeight="1">
      <c r="A36" s="35"/>
      <c r="B36" s="350" t="s">
        <v>1432</v>
      </c>
      <c r="C36" s="291"/>
      <c r="D36" s="287">
        <v>0</v>
      </c>
      <c r="E36" s="268"/>
      <c r="F36" s="287">
        <v>0</v>
      </c>
      <c r="G36" s="287"/>
      <c r="H36" s="287">
        <f t="shared" si="0"/>
        <v>0</v>
      </c>
      <c r="I36" s="268"/>
      <c r="J36" s="287"/>
      <c r="K36" s="553"/>
      <c r="L36" s="287"/>
      <c r="M36" s="553"/>
      <c r="N36" s="287"/>
      <c r="O36" s="553"/>
      <c r="P36" s="287"/>
      <c r="Q36" s="553"/>
      <c r="R36" s="287"/>
      <c r="S36" s="553"/>
      <c r="T36" s="287"/>
      <c r="U36" s="553"/>
      <c r="V36" s="287"/>
      <c r="W36" s="553"/>
      <c r="X36" s="287"/>
      <c r="Y36" s="553"/>
      <c r="Z36" s="287"/>
      <c r="AA36" s="264"/>
      <c r="AB36" s="523"/>
      <c r="AC36" s="531">
        <v>0</v>
      </c>
      <c r="AD36" s="287"/>
      <c r="AE36" s="1763"/>
      <c r="AF36" s="531">
        <v>0</v>
      </c>
      <c r="AG36" s="519"/>
      <c r="AH36" s="264"/>
      <c r="AI36" s="264">
        <f t="shared" si="1"/>
        <v>0</v>
      </c>
      <c r="AJ36" s="264"/>
      <c r="AK36" s="266">
        <f t="shared" si="3"/>
        <v>0</v>
      </c>
      <c r="AL36" s="1526"/>
    </row>
    <row r="37" spans="1:38" ht="15" customHeight="1">
      <c r="A37" s="35"/>
      <c r="B37" s="350" t="s">
        <v>1410</v>
      </c>
      <c r="C37" s="291"/>
      <c r="D37" s="287">
        <v>0</v>
      </c>
      <c r="E37" s="268"/>
      <c r="F37" s="287">
        <v>0</v>
      </c>
      <c r="G37" s="287"/>
      <c r="H37" s="287">
        <f t="shared" si="0"/>
        <v>0</v>
      </c>
      <c r="I37" s="268"/>
      <c r="J37" s="287"/>
      <c r="K37" s="553"/>
      <c r="L37" s="287"/>
      <c r="M37" s="553"/>
      <c r="N37" s="287"/>
      <c r="O37" s="553"/>
      <c r="P37" s="287"/>
      <c r="Q37" s="553"/>
      <c r="R37" s="287"/>
      <c r="S37" s="553"/>
      <c r="T37" s="287"/>
      <c r="U37" s="553"/>
      <c r="V37" s="287"/>
      <c r="W37" s="553"/>
      <c r="X37" s="287"/>
      <c r="Y37" s="553"/>
      <c r="Z37" s="287"/>
      <c r="AA37" s="264"/>
      <c r="AB37" s="523"/>
      <c r="AC37" s="531">
        <v>0</v>
      </c>
      <c r="AD37" s="287"/>
      <c r="AE37" s="1763"/>
      <c r="AF37" s="531">
        <v>0</v>
      </c>
      <c r="AG37" s="519"/>
      <c r="AH37" s="264"/>
      <c r="AI37" s="264">
        <f t="shared" si="1"/>
        <v>0</v>
      </c>
      <c r="AJ37" s="264"/>
      <c r="AK37" s="266">
        <f t="shared" si="3"/>
        <v>0</v>
      </c>
      <c r="AL37" s="1526"/>
    </row>
    <row r="38" spans="1:38" ht="15" customHeight="1">
      <c r="A38" s="35"/>
      <c r="B38" s="350" t="s">
        <v>497</v>
      </c>
      <c r="C38" s="291"/>
      <c r="D38" s="287">
        <v>0</v>
      </c>
      <c r="E38" s="268"/>
      <c r="F38" s="287">
        <v>0</v>
      </c>
      <c r="G38" s="287"/>
      <c r="H38" s="287">
        <f t="shared" si="0"/>
        <v>0</v>
      </c>
      <c r="I38" s="268"/>
      <c r="J38" s="287"/>
      <c r="K38" s="553"/>
      <c r="L38" s="287"/>
      <c r="M38" s="553"/>
      <c r="N38" s="287"/>
      <c r="O38" s="553"/>
      <c r="P38" s="287"/>
      <c r="Q38" s="553"/>
      <c r="R38" s="287"/>
      <c r="S38" s="553"/>
      <c r="T38" s="287"/>
      <c r="U38" s="553"/>
      <c r="V38" s="287"/>
      <c r="W38" s="553"/>
      <c r="X38" s="287"/>
      <c r="Y38" s="553"/>
      <c r="Z38" s="287"/>
      <c r="AA38" s="264"/>
      <c r="AB38" s="523"/>
      <c r="AC38" s="531">
        <v>0</v>
      </c>
      <c r="AD38" s="287"/>
      <c r="AE38" s="1763"/>
      <c r="AF38" s="531">
        <v>0</v>
      </c>
      <c r="AG38" s="519"/>
      <c r="AH38" s="264"/>
      <c r="AI38" s="264">
        <f t="shared" si="1"/>
        <v>0</v>
      </c>
      <c r="AJ38" s="264"/>
      <c r="AK38" s="266">
        <f t="shared" si="3"/>
        <v>0</v>
      </c>
      <c r="AL38" s="1526"/>
    </row>
    <row r="39" spans="1:38" ht="15" customHeight="1">
      <c r="A39" s="35"/>
      <c r="B39" s="350" t="s">
        <v>413</v>
      </c>
      <c r="C39" s="291"/>
      <c r="D39" s="287">
        <v>0</v>
      </c>
      <c r="E39" s="268"/>
      <c r="F39" s="287">
        <v>0</v>
      </c>
      <c r="G39" s="287"/>
      <c r="H39" s="287">
        <f t="shared" si="0"/>
        <v>0</v>
      </c>
      <c r="I39" s="268"/>
      <c r="J39" s="287"/>
      <c r="K39" s="553"/>
      <c r="L39" s="287"/>
      <c r="M39" s="553"/>
      <c r="N39" s="287"/>
      <c r="O39" s="553"/>
      <c r="P39" s="287"/>
      <c r="Q39" s="553"/>
      <c r="R39" s="287"/>
      <c r="S39" s="553"/>
      <c r="T39" s="287"/>
      <c r="U39" s="553"/>
      <c r="V39" s="287"/>
      <c r="W39" s="553"/>
      <c r="X39" s="287"/>
      <c r="Y39" s="553"/>
      <c r="Z39" s="287"/>
      <c r="AA39" s="264"/>
      <c r="AB39" s="523"/>
      <c r="AC39" s="531">
        <v>0</v>
      </c>
      <c r="AD39" s="287"/>
      <c r="AE39" s="1763"/>
      <c r="AF39" s="531">
        <v>0</v>
      </c>
      <c r="AG39" s="519"/>
      <c r="AH39" s="264"/>
      <c r="AI39" s="264">
        <f t="shared" si="1"/>
        <v>0</v>
      </c>
      <c r="AJ39" s="264"/>
      <c r="AK39" s="266">
        <f t="shared" si="3"/>
        <v>0</v>
      </c>
      <c r="AL39" s="1526"/>
    </row>
    <row r="40" spans="1:38" ht="15" customHeight="1">
      <c r="A40" s="35"/>
      <c r="B40" s="350" t="s">
        <v>414</v>
      </c>
      <c r="C40" s="291"/>
      <c r="D40" s="287"/>
      <c r="E40" s="268"/>
      <c r="F40" s="287"/>
      <c r="G40" s="287"/>
      <c r="H40" s="287"/>
      <c r="I40" s="268"/>
      <c r="J40" s="287"/>
      <c r="K40" s="268"/>
      <c r="L40" s="287"/>
      <c r="M40" s="268"/>
      <c r="N40" s="287"/>
      <c r="O40" s="268"/>
      <c r="P40" s="287"/>
      <c r="Q40" s="268"/>
      <c r="R40" s="287"/>
      <c r="S40" s="268"/>
      <c r="T40" s="287"/>
      <c r="U40" s="268"/>
      <c r="V40" s="287"/>
      <c r="W40" s="264"/>
      <c r="X40" s="287"/>
      <c r="Y40" s="264"/>
      <c r="Z40" s="287"/>
      <c r="AA40" s="268"/>
      <c r="AB40" s="667"/>
      <c r="AC40" s="264" t="s">
        <v>103</v>
      </c>
      <c r="AD40" s="264"/>
      <c r="AE40" s="524"/>
      <c r="AF40" s="264" t="s">
        <v>103</v>
      </c>
      <c r="AG40" s="519"/>
      <c r="AH40" s="264"/>
      <c r="AI40" s="264"/>
      <c r="AJ40" s="264"/>
      <c r="AK40" s="283"/>
      <c r="AL40" s="1526"/>
    </row>
    <row r="41" spans="1:38" ht="15" customHeight="1">
      <c r="A41" s="35"/>
      <c r="B41" s="350" t="s">
        <v>1411</v>
      </c>
      <c r="C41" s="291"/>
      <c r="D41" s="287">
        <v>0</v>
      </c>
      <c r="E41" s="268"/>
      <c r="F41" s="287">
        <v>0</v>
      </c>
      <c r="G41" s="287"/>
      <c r="H41" s="287">
        <f t="shared" si="0"/>
        <v>0</v>
      </c>
      <c r="I41" s="268"/>
      <c r="J41" s="287"/>
      <c r="K41" s="553"/>
      <c r="L41" s="287"/>
      <c r="M41" s="553"/>
      <c r="N41" s="287"/>
      <c r="O41" s="553"/>
      <c r="P41" s="287"/>
      <c r="Q41" s="553"/>
      <c r="R41" s="287"/>
      <c r="S41" s="553"/>
      <c r="T41" s="287"/>
      <c r="U41" s="553"/>
      <c r="V41" s="287"/>
      <c r="W41" s="553"/>
      <c r="X41" s="287"/>
      <c r="Y41" s="553"/>
      <c r="Z41" s="287"/>
      <c r="AA41" s="264"/>
      <c r="AB41" s="523"/>
      <c r="AC41" s="531">
        <v>0</v>
      </c>
      <c r="AD41" s="287"/>
      <c r="AE41" s="1763"/>
      <c r="AF41" s="531">
        <v>0</v>
      </c>
      <c r="AG41" s="519"/>
      <c r="AH41" s="264"/>
      <c r="AI41" s="264">
        <f t="shared" si="1"/>
        <v>0</v>
      </c>
      <c r="AJ41" s="264"/>
      <c r="AK41" s="266">
        <f>ROUND(IF(AF41=0,0,AI41/ABS(AF41)),3)</f>
        <v>0</v>
      </c>
      <c r="AL41" s="1526"/>
    </row>
    <row r="42" spans="1:38" ht="15" customHeight="1">
      <c r="A42" s="35"/>
      <c r="B42" s="350" t="s">
        <v>499</v>
      </c>
      <c r="C42" s="291"/>
      <c r="D42" s="287">
        <v>0</v>
      </c>
      <c r="E42" s="268"/>
      <c r="F42" s="287">
        <v>0</v>
      </c>
      <c r="G42" s="287"/>
      <c r="H42" s="287">
        <f t="shared" si="0"/>
        <v>0</v>
      </c>
      <c r="I42" s="268"/>
      <c r="J42" s="287"/>
      <c r="K42" s="553"/>
      <c r="L42" s="287"/>
      <c r="M42" s="553"/>
      <c r="N42" s="287"/>
      <c r="O42" s="553"/>
      <c r="P42" s="287"/>
      <c r="Q42" s="553"/>
      <c r="R42" s="287"/>
      <c r="S42" s="553"/>
      <c r="T42" s="287"/>
      <c r="U42" s="553"/>
      <c r="V42" s="287"/>
      <c r="W42" s="553"/>
      <c r="X42" s="287"/>
      <c r="Y42" s="553"/>
      <c r="Z42" s="287"/>
      <c r="AA42" s="264"/>
      <c r="AB42" s="523"/>
      <c r="AC42" s="531">
        <v>0</v>
      </c>
      <c r="AD42" s="287"/>
      <c r="AE42" s="1763"/>
      <c r="AF42" s="531">
        <v>0</v>
      </c>
      <c r="AG42" s="519"/>
      <c r="AH42" s="264"/>
      <c r="AI42" s="264">
        <f t="shared" si="1"/>
        <v>0</v>
      </c>
      <c r="AJ42" s="264"/>
      <c r="AK42" s="266">
        <f t="shared" ref="AK42:AK48" si="4">ROUND(IF(AF42=0,0,AI42/ABS(AF42)),3)</f>
        <v>0</v>
      </c>
      <c r="AL42" s="1526"/>
    </row>
    <row r="43" spans="1:38" ht="15" customHeight="1">
      <c r="A43" s="35"/>
      <c r="B43" s="350" t="s">
        <v>1412</v>
      </c>
      <c r="C43" s="291"/>
      <c r="D43" s="287">
        <v>0</v>
      </c>
      <c r="E43" s="268"/>
      <c r="F43" s="287">
        <v>0</v>
      </c>
      <c r="G43" s="287"/>
      <c r="H43" s="287">
        <f t="shared" si="0"/>
        <v>0</v>
      </c>
      <c r="I43" s="268"/>
      <c r="J43" s="287"/>
      <c r="K43" s="553"/>
      <c r="L43" s="287"/>
      <c r="M43" s="553"/>
      <c r="N43" s="287"/>
      <c r="O43" s="553"/>
      <c r="P43" s="287"/>
      <c r="Q43" s="553"/>
      <c r="R43" s="287"/>
      <c r="S43" s="553"/>
      <c r="T43" s="287"/>
      <c r="U43" s="553"/>
      <c r="V43" s="287"/>
      <c r="W43" s="553"/>
      <c r="X43" s="287"/>
      <c r="Y43" s="553"/>
      <c r="Z43" s="287"/>
      <c r="AA43" s="264"/>
      <c r="AB43" s="523"/>
      <c r="AC43" s="531">
        <v>0</v>
      </c>
      <c r="AD43" s="287"/>
      <c r="AE43" s="1763"/>
      <c r="AF43" s="531">
        <v>0.2</v>
      </c>
      <c r="AG43" s="519"/>
      <c r="AH43" s="264"/>
      <c r="AI43" s="264">
        <f t="shared" si="1"/>
        <v>-0.2</v>
      </c>
      <c r="AJ43" s="264"/>
      <c r="AK43" s="266">
        <f>ROUND(IF(AF43=0,0,AI43/ABS(AF43)),3)</f>
        <v>-1</v>
      </c>
      <c r="AL43" s="1526"/>
    </row>
    <row r="44" spans="1:38" ht="15" customHeight="1">
      <c r="A44" s="35"/>
      <c r="B44" s="350" t="s">
        <v>1413</v>
      </c>
      <c r="C44" s="291"/>
      <c r="D44" s="287">
        <v>0</v>
      </c>
      <c r="E44" s="268"/>
      <c r="F44" s="287">
        <v>0</v>
      </c>
      <c r="G44" s="287"/>
      <c r="H44" s="287">
        <f t="shared" si="0"/>
        <v>0</v>
      </c>
      <c r="I44" s="268"/>
      <c r="J44" s="287"/>
      <c r="K44" s="553"/>
      <c r="L44" s="287"/>
      <c r="M44" s="553"/>
      <c r="N44" s="287"/>
      <c r="O44" s="553"/>
      <c r="P44" s="287"/>
      <c r="Q44" s="553"/>
      <c r="R44" s="287"/>
      <c r="S44" s="553"/>
      <c r="T44" s="287"/>
      <c r="U44" s="553"/>
      <c r="V44" s="287"/>
      <c r="W44" s="553"/>
      <c r="X44" s="287"/>
      <c r="Y44" s="553"/>
      <c r="Z44" s="287"/>
      <c r="AA44" s="264"/>
      <c r="AB44" s="523"/>
      <c r="AC44" s="531">
        <v>0</v>
      </c>
      <c r="AD44" s="287"/>
      <c r="AE44" s="1763"/>
      <c r="AF44" s="531">
        <v>0</v>
      </c>
      <c r="AG44" s="519"/>
      <c r="AH44" s="264"/>
      <c r="AI44" s="264">
        <f t="shared" si="1"/>
        <v>0</v>
      </c>
      <c r="AJ44" s="264"/>
      <c r="AK44" s="266">
        <f t="shared" si="4"/>
        <v>0</v>
      </c>
      <c r="AL44" s="1526"/>
    </row>
    <row r="45" spans="1:38" ht="15" customHeight="1">
      <c r="A45" s="35"/>
      <c r="B45" s="350" t="s">
        <v>502</v>
      </c>
      <c r="C45" s="291"/>
      <c r="D45" s="287">
        <v>0</v>
      </c>
      <c r="E45" s="268"/>
      <c r="F45" s="287">
        <v>0</v>
      </c>
      <c r="G45" s="287"/>
      <c r="H45" s="287">
        <f t="shared" si="0"/>
        <v>0</v>
      </c>
      <c r="I45" s="268"/>
      <c r="J45" s="287"/>
      <c r="K45" s="553"/>
      <c r="L45" s="287"/>
      <c r="M45" s="553"/>
      <c r="N45" s="287"/>
      <c r="O45" s="553"/>
      <c r="P45" s="287"/>
      <c r="Q45" s="553"/>
      <c r="R45" s="287"/>
      <c r="S45" s="553"/>
      <c r="T45" s="287"/>
      <c r="U45" s="553"/>
      <c r="V45" s="287"/>
      <c r="W45" s="553"/>
      <c r="X45" s="287"/>
      <c r="Y45" s="553"/>
      <c r="Z45" s="287"/>
      <c r="AA45" s="264"/>
      <c r="AB45" s="523"/>
      <c r="AC45" s="531">
        <v>0</v>
      </c>
      <c r="AD45" s="287"/>
      <c r="AE45" s="1763"/>
      <c r="AF45" s="531">
        <v>0</v>
      </c>
      <c r="AG45" s="519"/>
      <c r="AH45" s="264"/>
      <c r="AI45" s="264">
        <f t="shared" si="1"/>
        <v>0</v>
      </c>
      <c r="AJ45" s="264"/>
      <c r="AK45" s="266">
        <f t="shared" si="4"/>
        <v>0</v>
      </c>
      <c r="AL45" s="1526"/>
    </row>
    <row r="46" spans="1:38" ht="15" customHeight="1">
      <c r="A46" s="35"/>
      <c r="B46" s="350" t="s">
        <v>1434</v>
      </c>
      <c r="C46" s="291"/>
      <c r="D46" s="287">
        <v>8.4</v>
      </c>
      <c r="E46" s="268"/>
      <c r="F46" s="287">
        <v>9.7000000000000011</v>
      </c>
      <c r="G46" s="287"/>
      <c r="H46" s="287">
        <f t="shared" si="0"/>
        <v>8.7999999999999954</v>
      </c>
      <c r="I46" s="268"/>
      <c r="J46" s="287"/>
      <c r="K46" s="553"/>
      <c r="L46" s="287"/>
      <c r="M46" s="553"/>
      <c r="N46" s="287"/>
      <c r="O46" s="553"/>
      <c r="P46" s="287"/>
      <c r="Q46" s="553"/>
      <c r="R46" s="287"/>
      <c r="S46" s="553"/>
      <c r="T46" s="287"/>
      <c r="U46" s="553"/>
      <c r="V46" s="287"/>
      <c r="W46" s="553"/>
      <c r="X46" s="287"/>
      <c r="Y46" s="553"/>
      <c r="Z46" s="287"/>
      <c r="AA46" s="264"/>
      <c r="AB46" s="523"/>
      <c r="AC46" s="531">
        <v>26.9</v>
      </c>
      <c r="AD46" s="287"/>
      <c r="AE46" s="1763"/>
      <c r="AF46" s="531">
        <v>28.1</v>
      </c>
      <c r="AG46" s="519"/>
      <c r="AH46" s="264"/>
      <c r="AI46" s="264">
        <f t="shared" si="1"/>
        <v>-1.2</v>
      </c>
      <c r="AJ46" s="264"/>
      <c r="AK46" s="266">
        <f t="shared" si="4"/>
        <v>-4.2999999999999997E-2</v>
      </c>
      <c r="AL46" s="1526"/>
    </row>
    <row r="47" spans="1:38" ht="15" customHeight="1">
      <c r="A47" s="35"/>
      <c r="B47" s="350" t="s">
        <v>1415</v>
      </c>
      <c r="C47" s="291"/>
      <c r="D47" s="287">
        <v>0</v>
      </c>
      <c r="E47" s="268"/>
      <c r="F47" s="287">
        <v>0</v>
      </c>
      <c r="G47" s="287"/>
      <c r="H47" s="287">
        <f t="shared" si="0"/>
        <v>0</v>
      </c>
      <c r="I47" s="268"/>
      <c r="J47" s="287"/>
      <c r="K47" s="553"/>
      <c r="L47" s="287"/>
      <c r="M47" s="553"/>
      <c r="N47" s="287"/>
      <c r="O47" s="553"/>
      <c r="P47" s="287"/>
      <c r="Q47" s="553"/>
      <c r="R47" s="287"/>
      <c r="S47" s="553"/>
      <c r="T47" s="287"/>
      <c r="U47" s="553"/>
      <c r="V47" s="287"/>
      <c r="W47" s="553"/>
      <c r="X47" s="287"/>
      <c r="Y47" s="553"/>
      <c r="Z47" s="287"/>
      <c r="AA47" s="264"/>
      <c r="AB47" s="523"/>
      <c r="AC47" s="531">
        <v>0</v>
      </c>
      <c r="AD47" s="287"/>
      <c r="AE47" s="1763"/>
      <c r="AF47" s="531">
        <v>0</v>
      </c>
      <c r="AG47" s="519"/>
      <c r="AH47" s="264"/>
      <c r="AI47" s="264">
        <f t="shared" si="1"/>
        <v>0</v>
      </c>
      <c r="AJ47" s="264"/>
      <c r="AK47" s="266">
        <f t="shared" si="4"/>
        <v>0</v>
      </c>
      <c r="AL47" s="1526"/>
    </row>
    <row r="48" spans="1:38" ht="15" customHeight="1">
      <c r="A48" s="35"/>
      <c r="B48" s="350" t="s">
        <v>1442</v>
      </c>
      <c r="C48" s="291"/>
      <c r="D48" s="287">
        <v>0</v>
      </c>
      <c r="E48" s="268"/>
      <c r="F48" s="287">
        <v>0</v>
      </c>
      <c r="G48" s="287"/>
      <c r="H48" s="287">
        <f t="shared" si="0"/>
        <v>0</v>
      </c>
      <c r="I48" s="268"/>
      <c r="J48" s="287"/>
      <c r="K48" s="553"/>
      <c r="L48" s="287"/>
      <c r="M48" s="553"/>
      <c r="N48" s="287"/>
      <c r="O48" s="553"/>
      <c r="P48" s="287"/>
      <c r="Q48" s="553"/>
      <c r="R48" s="287"/>
      <c r="S48" s="553"/>
      <c r="T48" s="287"/>
      <c r="U48" s="553"/>
      <c r="V48" s="287"/>
      <c r="W48" s="553"/>
      <c r="X48" s="287"/>
      <c r="Y48" s="553"/>
      <c r="Z48" s="287"/>
      <c r="AA48" s="264"/>
      <c r="AB48" s="523"/>
      <c r="AC48" s="531">
        <v>0</v>
      </c>
      <c r="AD48" s="287"/>
      <c r="AE48" s="1763"/>
      <c r="AF48" s="531">
        <v>0</v>
      </c>
      <c r="AG48" s="519"/>
      <c r="AH48" s="264"/>
      <c r="AI48" s="264">
        <f t="shared" si="1"/>
        <v>0</v>
      </c>
      <c r="AJ48" s="264"/>
      <c r="AK48" s="266">
        <f t="shared" si="4"/>
        <v>0</v>
      </c>
      <c r="AL48" s="1526"/>
    </row>
    <row r="49" spans="1:38" ht="15" customHeight="1">
      <c r="A49" s="35"/>
      <c r="B49" s="350" t="s">
        <v>505</v>
      </c>
      <c r="C49" s="291"/>
      <c r="D49" s="287">
        <v>0.5</v>
      </c>
      <c r="E49" s="268"/>
      <c r="F49" s="287">
        <v>0</v>
      </c>
      <c r="G49" s="287"/>
      <c r="H49" s="287">
        <f t="shared" si="0"/>
        <v>9.9999999999999978E-2</v>
      </c>
      <c r="I49" s="268"/>
      <c r="J49" s="287"/>
      <c r="K49" s="553"/>
      <c r="L49" s="287"/>
      <c r="M49" s="553"/>
      <c r="N49" s="287"/>
      <c r="O49" s="553"/>
      <c r="P49" s="287"/>
      <c r="Q49" s="553"/>
      <c r="R49" s="287"/>
      <c r="S49" s="553"/>
      <c r="T49" s="287"/>
      <c r="U49" s="553"/>
      <c r="V49" s="287"/>
      <c r="W49" s="553"/>
      <c r="X49" s="287"/>
      <c r="Y49" s="553"/>
      <c r="Z49" s="287"/>
      <c r="AA49" s="264"/>
      <c r="AB49" s="523"/>
      <c r="AC49" s="531">
        <v>0.6</v>
      </c>
      <c r="AD49" s="264"/>
      <c r="AE49" s="524"/>
      <c r="AF49" s="531">
        <v>0.8</v>
      </c>
      <c r="AG49" s="519"/>
      <c r="AH49" s="264"/>
      <c r="AI49" s="264">
        <f t="shared" si="1"/>
        <v>-0.2</v>
      </c>
      <c r="AJ49" s="264"/>
      <c r="AK49" s="542">
        <f>ROUND(IF(AF49=0,1,AI49/ABS(AF49)),3)</f>
        <v>-0.25</v>
      </c>
      <c r="AL49" s="1526"/>
    </row>
    <row r="50" spans="1:38" ht="15" customHeight="1">
      <c r="A50" s="35"/>
      <c r="B50" s="350" t="s">
        <v>424</v>
      </c>
      <c r="C50" s="291"/>
      <c r="D50" s="287">
        <v>0</v>
      </c>
      <c r="E50" s="268"/>
      <c r="F50" s="287">
        <v>0</v>
      </c>
      <c r="G50" s="287"/>
      <c r="H50" s="287">
        <f t="shared" si="0"/>
        <v>0</v>
      </c>
      <c r="I50" s="268"/>
      <c r="J50" s="287"/>
      <c r="K50" s="553"/>
      <c r="L50" s="287"/>
      <c r="M50" s="553"/>
      <c r="N50" s="287"/>
      <c r="O50" s="553"/>
      <c r="P50" s="287"/>
      <c r="Q50" s="553"/>
      <c r="R50" s="287"/>
      <c r="S50" s="553"/>
      <c r="T50" s="287"/>
      <c r="U50" s="553"/>
      <c r="V50" s="287"/>
      <c r="W50" s="553"/>
      <c r="X50" s="287"/>
      <c r="Y50" s="553"/>
      <c r="Z50" s="287"/>
      <c r="AA50" s="264"/>
      <c r="AB50" s="523"/>
      <c r="AC50" s="531">
        <v>0</v>
      </c>
      <c r="AD50" s="264"/>
      <c r="AE50" s="524"/>
      <c r="AF50" s="531">
        <v>0</v>
      </c>
      <c r="AG50" s="519"/>
      <c r="AH50" s="264"/>
      <c r="AI50" s="264">
        <f t="shared" si="1"/>
        <v>0</v>
      </c>
      <c r="AJ50" s="264"/>
      <c r="AK50" s="266">
        <f>ROUND(IF(AF50=0,0,AI50/ABS(AF50)),3)</f>
        <v>0</v>
      </c>
      <c r="AL50" s="1526"/>
    </row>
    <row r="51" spans="1:38" ht="15" customHeight="1">
      <c r="A51" s="35"/>
      <c r="B51" s="350" t="s">
        <v>425</v>
      </c>
      <c r="C51" s="291"/>
      <c r="D51" s="287">
        <v>0</v>
      </c>
      <c r="E51" s="268"/>
      <c r="F51" s="287">
        <v>0</v>
      </c>
      <c r="G51" s="287"/>
      <c r="H51" s="287">
        <f t="shared" si="0"/>
        <v>0</v>
      </c>
      <c r="I51" s="268"/>
      <c r="J51" s="287"/>
      <c r="K51" s="553"/>
      <c r="L51" s="287"/>
      <c r="M51" s="553"/>
      <c r="N51" s="287"/>
      <c r="O51" s="553"/>
      <c r="P51" s="287"/>
      <c r="Q51" s="553"/>
      <c r="R51" s="287"/>
      <c r="S51" s="553"/>
      <c r="T51" s="287"/>
      <c r="U51" s="553"/>
      <c r="V51" s="287"/>
      <c r="W51" s="553"/>
      <c r="X51" s="287"/>
      <c r="Y51" s="553"/>
      <c r="Z51" s="287"/>
      <c r="AA51" s="264"/>
      <c r="AB51" s="523"/>
      <c r="AC51" s="531">
        <v>0</v>
      </c>
      <c r="AD51" s="287"/>
      <c r="AE51" s="1763"/>
      <c r="AF51" s="531">
        <v>0</v>
      </c>
      <c r="AG51" s="519"/>
      <c r="AH51" s="264"/>
      <c r="AI51" s="264">
        <f t="shared" si="1"/>
        <v>0</v>
      </c>
      <c r="AJ51" s="264"/>
      <c r="AK51" s="266">
        <f>ROUND(IF(AF51=0,0,AI51/ABS(AF51)),3)</f>
        <v>0</v>
      </c>
      <c r="AL51" s="1526"/>
    </row>
    <row r="52" spans="1:38" ht="15" customHeight="1">
      <c r="A52" s="35"/>
      <c r="B52" s="83" t="s">
        <v>526</v>
      </c>
      <c r="C52" s="291"/>
      <c r="D52" s="419">
        <f>ROUND(SUM(D19:D51),1)</f>
        <v>52</v>
      </c>
      <c r="E52" s="268"/>
      <c r="F52" s="419">
        <f>ROUND(SUM(F19:F51),1)</f>
        <v>95.9</v>
      </c>
      <c r="G52" s="268"/>
      <c r="H52" s="419">
        <f>ROUND(SUM(H19:H51),1)</f>
        <v>42.3</v>
      </c>
      <c r="I52" s="268"/>
      <c r="J52" s="419">
        <f>ROUND(SUM(J19:J51),1)</f>
        <v>0</v>
      </c>
      <c r="K52" s="268"/>
      <c r="L52" s="419">
        <f>ROUND(SUM(L19:L51),1)</f>
        <v>0</v>
      </c>
      <c r="M52" s="268"/>
      <c r="N52" s="419">
        <f>ROUND(SUM(N19:N51),1)</f>
        <v>0</v>
      </c>
      <c r="O52" s="268"/>
      <c r="P52" s="419">
        <f>ROUND(SUM(P19:P51),1)</f>
        <v>0</v>
      </c>
      <c r="Q52" s="268"/>
      <c r="R52" s="419">
        <f>ROUND(SUM(R19:R51),1)</f>
        <v>0</v>
      </c>
      <c r="S52" s="18"/>
      <c r="T52" s="419">
        <f>ROUND(SUM(T19:T51),1)</f>
        <v>0</v>
      </c>
      <c r="U52" s="268"/>
      <c r="V52" s="419">
        <f>ROUND(SUM(V19:V51),1)</f>
        <v>0</v>
      </c>
      <c r="W52" s="264"/>
      <c r="X52" s="419">
        <f>ROUND(SUM(X19:X51),1)</f>
        <v>0</v>
      </c>
      <c r="Y52" s="264"/>
      <c r="Z52" s="419">
        <f>ROUND(SUM(Z19:Z51),1)</f>
        <v>0</v>
      </c>
      <c r="AA52" s="268"/>
      <c r="AB52" s="667"/>
      <c r="AC52" s="419">
        <f>ROUND(SUM(AC19:AC51),1)</f>
        <v>190.2</v>
      </c>
      <c r="AD52" s="264"/>
      <c r="AE52" s="524"/>
      <c r="AF52" s="419">
        <f>ROUND(SUM(AF19:AF51),1)</f>
        <v>193.6</v>
      </c>
      <c r="AG52" s="519"/>
      <c r="AH52" s="264"/>
      <c r="AI52" s="419">
        <f>ROUND(SUM(AI19:AI51),1)</f>
        <v>-3.4</v>
      </c>
      <c r="AJ52" s="264"/>
      <c r="AK52" s="1048">
        <f>ROUND(SUM((AC52-AF52)/ABS(AF52)),3)</f>
        <v>-1.7999999999999999E-2</v>
      </c>
      <c r="AL52" s="1526"/>
    </row>
    <row r="53" spans="1:38" ht="15" customHeight="1">
      <c r="A53" s="35"/>
      <c r="B53" s="350"/>
      <c r="C53" s="291"/>
      <c r="D53" s="287"/>
      <c r="E53" s="268"/>
      <c r="F53" s="275"/>
      <c r="G53" s="268"/>
      <c r="H53" s="264"/>
      <c r="I53" s="268"/>
      <c r="J53" s="264"/>
      <c r="K53" s="268"/>
      <c r="L53" s="264"/>
      <c r="M53" s="268"/>
      <c r="N53" s="264"/>
      <c r="O53" s="268"/>
      <c r="P53" s="58"/>
      <c r="Q53" s="268"/>
      <c r="R53" s="383"/>
      <c r="S53" s="268"/>
      <c r="T53" s="275"/>
      <c r="U53" s="268"/>
      <c r="V53" s="287"/>
      <c r="W53" s="264"/>
      <c r="X53" s="287"/>
      <c r="Y53" s="264"/>
      <c r="Z53" s="287"/>
      <c r="AA53" s="268"/>
      <c r="AB53" s="667"/>
      <c r="AC53" s="264"/>
      <c r="AD53" s="264"/>
      <c r="AE53" s="524"/>
      <c r="AF53" s="264"/>
      <c r="AG53" s="519"/>
      <c r="AH53" s="264"/>
      <c r="AI53" s="264"/>
      <c r="AJ53" s="264"/>
      <c r="AK53" s="283"/>
      <c r="AL53" s="1526"/>
    </row>
    <row r="54" spans="1:38" ht="15" customHeight="1">
      <c r="A54" s="35"/>
      <c r="B54" s="1035" t="s">
        <v>507</v>
      </c>
      <c r="C54" s="291"/>
      <c r="D54" s="287">
        <v>8995.2000000000007</v>
      </c>
      <c r="E54" s="268"/>
      <c r="F54" s="287">
        <v>7002.0999999999985</v>
      </c>
      <c r="G54" s="287"/>
      <c r="H54" s="287">
        <f>$AC54-F54-D54</f>
        <v>13528.3</v>
      </c>
      <c r="I54" s="268"/>
      <c r="J54" s="287"/>
      <c r="K54" s="553"/>
      <c r="L54" s="287"/>
      <c r="M54" s="553"/>
      <c r="N54" s="287"/>
      <c r="O54" s="553"/>
      <c r="P54" s="287"/>
      <c r="Q54" s="553"/>
      <c r="R54" s="287"/>
      <c r="S54" s="553"/>
      <c r="T54" s="287"/>
      <c r="U54" s="553"/>
      <c r="V54" s="287"/>
      <c r="W54" s="553"/>
      <c r="X54" s="287"/>
      <c r="Y54" s="553"/>
      <c r="Z54" s="287"/>
      <c r="AA54" s="264"/>
      <c r="AB54" s="523"/>
      <c r="AC54" s="531">
        <v>29525.599999999999</v>
      </c>
      <c r="AD54" s="287"/>
      <c r="AE54" s="1763"/>
      <c r="AF54" s="531">
        <v>24575.599999999999</v>
      </c>
      <c r="AG54" s="519"/>
      <c r="AH54" s="264"/>
      <c r="AI54" s="264">
        <f>ROUND(SUM(+AC54-AF54),1)</f>
        <v>4950</v>
      </c>
      <c r="AJ54" s="264"/>
      <c r="AK54" s="534">
        <f>ROUND(SUM((AC54-AF54)/ABS(AF54)),3)</f>
        <v>0.20100000000000001</v>
      </c>
      <c r="AL54" s="1526"/>
    </row>
    <row r="55" spans="1:38" ht="15" customHeight="1">
      <c r="A55" s="35"/>
      <c r="B55" s="291"/>
      <c r="C55" s="291"/>
      <c r="D55" s="1029"/>
      <c r="E55" s="268"/>
      <c r="F55" s="1029"/>
      <c r="G55" s="268"/>
      <c r="H55" s="1029"/>
      <c r="I55" s="268"/>
      <c r="J55" s="1029"/>
      <c r="K55" s="268"/>
      <c r="L55" s="1029"/>
      <c r="M55" s="268"/>
      <c r="N55" s="1029"/>
      <c r="O55" s="268"/>
      <c r="P55" s="1029"/>
      <c r="Q55" s="268"/>
      <c r="R55" s="1029"/>
      <c r="S55" s="268"/>
      <c r="T55" s="615"/>
      <c r="U55" s="268"/>
      <c r="V55" s="615"/>
      <c r="W55" s="264"/>
      <c r="X55" s="615"/>
      <c r="Y55" s="264"/>
      <c r="Z55" s="615"/>
      <c r="AA55" s="268"/>
      <c r="AB55" s="667"/>
      <c r="AC55" s="615"/>
      <c r="AD55" s="264"/>
      <c r="AE55" s="524"/>
      <c r="AF55" s="615"/>
      <c r="AG55" s="519"/>
      <c r="AH55" s="264"/>
      <c r="AI55" s="1049"/>
      <c r="AJ55" s="530"/>
      <c r="AK55" s="535"/>
      <c r="AL55" s="1526"/>
    </row>
    <row r="56" spans="1:38" ht="15" customHeight="1">
      <c r="A56" s="35"/>
      <c r="B56" s="3" t="s">
        <v>427</v>
      </c>
      <c r="C56" s="291"/>
      <c r="D56" s="13">
        <f>ROUND(SUM(+D52+D54),2)</f>
        <v>9047.2000000000007</v>
      </c>
      <c r="E56" s="40"/>
      <c r="F56" s="13">
        <f>ROUND(SUM(+F52+F54),2)</f>
        <v>7098</v>
      </c>
      <c r="G56" s="40"/>
      <c r="H56" s="13">
        <f>ROUND(SUM(+H52+H54),2)</f>
        <v>13570.6</v>
      </c>
      <c r="I56" s="40"/>
      <c r="J56" s="13">
        <f>ROUND(SUM(+J52+J54),2)</f>
        <v>0</v>
      </c>
      <c r="K56" s="40"/>
      <c r="L56" s="13">
        <f>ROUND(SUM(+L52+L54),2)</f>
        <v>0</v>
      </c>
      <c r="M56" s="40"/>
      <c r="N56" s="13">
        <f>ROUND(SUM(+N52+N54),2)</f>
        <v>0</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68"/>
      <c r="AC56" s="13">
        <f>ROUND(SUM(+AC52+AC54),2)</f>
        <v>29715.8</v>
      </c>
      <c r="AD56" s="13"/>
      <c r="AE56" s="669"/>
      <c r="AF56" s="13">
        <f>ROUND(SUM(+AF52+AF54),2)</f>
        <v>24769.200000000001</v>
      </c>
      <c r="AG56" s="75"/>
      <c r="AH56" s="13"/>
      <c r="AI56" s="357">
        <f>ROUND(SUM(+AI52+AI54),1)</f>
        <v>4946.6000000000004</v>
      </c>
      <c r="AJ56" s="76"/>
      <c r="AK56" s="536">
        <f>ROUND(SUM((AC56-AF56)/ABS(AF56)),3)</f>
        <v>0.2</v>
      </c>
      <c r="AL56" s="1526"/>
    </row>
    <row r="57" spans="1:38" ht="15" customHeight="1">
      <c r="A57" s="35"/>
      <c r="B57" s="291"/>
      <c r="C57" s="291"/>
      <c r="D57" s="1029"/>
      <c r="E57" s="268"/>
      <c r="F57" s="615"/>
      <c r="G57" s="268"/>
      <c r="H57" s="615"/>
      <c r="I57" s="268"/>
      <c r="J57" s="615"/>
      <c r="K57" s="268"/>
      <c r="L57" s="615"/>
      <c r="M57" s="268"/>
      <c r="N57" s="615"/>
      <c r="O57" s="268"/>
      <c r="P57" s="615"/>
      <c r="Q57" s="268"/>
      <c r="R57" s="615"/>
      <c r="S57" s="268"/>
      <c r="T57" s="615"/>
      <c r="U57" s="268"/>
      <c r="V57" s="615"/>
      <c r="W57" s="264"/>
      <c r="X57" s="615"/>
      <c r="Y57" s="264"/>
      <c r="Z57" s="615"/>
      <c r="AA57" s="268"/>
      <c r="AB57" s="667"/>
      <c r="AC57" s="1029"/>
      <c r="AD57" s="268"/>
      <c r="AE57" s="1047"/>
      <c r="AF57" s="1029"/>
      <c r="AG57" s="1228"/>
      <c r="AH57" s="364"/>
      <c r="AI57" s="530"/>
      <c r="AJ57" s="530"/>
      <c r="AK57" s="535"/>
      <c r="AL57" s="1526"/>
    </row>
    <row r="58" spans="1:38" ht="15" customHeight="1">
      <c r="A58" s="35"/>
      <c r="B58" s="1216" t="s">
        <v>122</v>
      </c>
      <c r="C58" s="291"/>
      <c r="D58" s="268"/>
      <c r="E58" s="268"/>
      <c r="F58" s="264"/>
      <c r="G58" s="268"/>
      <c r="H58" s="264"/>
      <c r="I58" s="268"/>
      <c r="J58" s="264"/>
      <c r="K58" s="268"/>
      <c r="L58" s="264"/>
      <c r="M58" s="268"/>
      <c r="N58" s="264"/>
      <c r="O58" s="268"/>
      <c r="P58" s="264"/>
      <c r="Q58" s="268"/>
      <c r="R58" s="264"/>
      <c r="S58" s="268"/>
      <c r="T58" s="264"/>
      <c r="U58" s="268"/>
      <c r="V58" s="264"/>
      <c r="W58" s="264"/>
      <c r="X58" s="264"/>
      <c r="Y58" s="264"/>
      <c r="Z58" s="264"/>
      <c r="AA58" s="268"/>
      <c r="AB58" s="667"/>
      <c r="AC58" s="268"/>
      <c r="AD58" s="268"/>
      <c r="AE58" s="1047"/>
      <c r="AF58" s="268"/>
      <c r="AG58" s="1228"/>
      <c r="AH58" s="364"/>
      <c r="AI58" s="530"/>
      <c r="AJ58" s="530"/>
      <c r="AK58" s="535"/>
      <c r="AL58" s="1526"/>
    </row>
    <row r="59" spans="1:38" ht="15" customHeight="1">
      <c r="A59" s="35"/>
      <c r="B59" s="291" t="s">
        <v>451</v>
      </c>
      <c r="C59" s="291"/>
      <c r="D59" s="287"/>
      <c r="E59" s="268"/>
      <c r="F59" s="287"/>
      <c r="G59" s="268"/>
      <c r="H59" s="287"/>
      <c r="I59" s="268"/>
      <c r="J59" s="287"/>
      <c r="K59" s="268"/>
      <c r="L59" s="287"/>
      <c r="M59" s="268"/>
      <c r="N59" s="287"/>
      <c r="O59" s="268"/>
      <c r="P59" s="1274"/>
      <c r="Q59" s="268"/>
      <c r="R59" s="287"/>
      <c r="S59" s="268"/>
      <c r="T59" s="287"/>
      <c r="U59" s="268"/>
      <c r="V59" s="264"/>
      <c r="W59" s="264"/>
      <c r="X59" s="264"/>
      <c r="Y59" s="264"/>
      <c r="Z59" s="264"/>
      <c r="AA59" s="268"/>
      <c r="AB59" s="667"/>
      <c r="AC59" s="268"/>
      <c r="AD59" s="268"/>
      <c r="AE59" s="1047"/>
      <c r="AF59" s="268"/>
      <c r="AG59" s="1228"/>
      <c r="AH59" s="364"/>
      <c r="AI59" s="383"/>
      <c r="AJ59" s="530"/>
      <c r="AK59" s="535"/>
      <c r="AL59" s="1526"/>
    </row>
    <row r="60" spans="1:38" s="1118" customFormat="1" ht="15" customHeight="1">
      <c r="A60" s="1115"/>
      <c r="B60" s="1225" t="s">
        <v>124</v>
      </c>
      <c r="C60" s="1201"/>
      <c r="D60" s="287">
        <v>488.3</v>
      </c>
      <c r="E60" s="1226"/>
      <c r="F60" s="287">
        <v>356.49999999999994</v>
      </c>
      <c r="G60" s="1195"/>
      <c r="H60" s="287">
        <f>$AC60-F60-D60</f>
        <v>772.8</v>
      </c>
      <c r="I60" s="1131"/>
      <c r="J60" s="287"/>
      <c r="K60" s="1116"/>
      <c r="L60" s="287"/>
      <c r="M60" s="1116"/>
      <c r="N60" s="287"/>
      <c r="O60" s="1124"/>
      <c r="P60" s="287"/>
      <c r="Q60" s="1116"/>
      <c r="R60" s="287"/>
      <c r="S60" s="1116"/>
      <c r="T60" s="287"/>
      <c r="U60" s="1116"/>
      <c r="V60" s="287"/>
      <c r="W60" s="1116"/>
      <c r="X60" s="287"/>
      <c r="Y60" s="1116"/>
      <c r="Z60" s="287"/>
      <c r="AA60" s="610"/>
      <c r="AB60" s="1123"/>
      <c r="AC60" s="531">
        <v>1617.6</v>
      </c>
      <c r="AD60" s="287"/>
      <c r="AE60" s="1763"/>
      <c r="AF60" s="531">
        <v>1464.9</v>
      </c>
      <c r="AG60" s="1211"/>
      <c r="AH60" s="1193"/>
      <c r="AI60" s="1193">
        <f>ROUND(SUM(+AC60-AF60),1)</f>
        <v>152.69999999999999</v>
      </c>
      <c r="AJ60" s="1193"/>
      <c r="AK60" s="1191">
        <f>ROUND(IF(AF60=0,0,AI60/ABS(AF60)),3)</f>
        <v>0.104</v>
      </c>
      <c r="AL60" s="1526"/>
    </row>
    <row r="61" spans="1:38" ht="15" customHeight="1">
      <c r="A61" s="35"/>
      <c r="B61" s="384" t="s">
        <v>125</v>
      </c>
      <c r="C61" s="291"/>
      <c r="D61" s="287">
        <v>0.1</v>
      </c>
      <c r="E61" s="268"/>
      <c r="F61" s="287">
        <v>0.1</v>
      </c>
      <c r="G61" s="287"/>
      <c r="H61" s="287">
        <f t="shared" ref="H61:H69" si="5">$AC61-F61-D61</f>
        <v>0</v>
      </c>
      <c r="I61" s="268"/>
      <c r="J61" s="287"/>
      <c r="K61" s="553"/>
      <c r="L61" s="287"/>
      <c r="M61" s="553"/>
      <c r="N61" s="287"/>
      <c r="O61" s="553"/>
      <c r="P61" s="287"/>
      <c r="Q61" s="553"/>
      <c r="R61" s="287"/>
      <c r="S61" s="553"/>
      <c r="T61" s="287"/>
      <c r="U61" s="553"/>
      <c r="V61" s="287"/>
      <c r="W61" s="553"/>
      <c r="X61" s="287"/>
      <c r="Y61" s="553"/>
      <c r="Z61" s="287"/>
      <c r="AA61" s="264"/>
      <c r="AB61" s="523"/>
      <c r="AC61" s="531">
        <v>0.2</v>
      </c>
      <c r="AD61" s="287"/>
      <c r="AE61" s="1763"/>
      <c r="AF61" s="531">
        <v>0.3</v>
      </c>
      <c r="AG61" s="519"/>
      <c r="AH61" s="264"/>
      <c r="AI61" s="264">
        <f>ROUND(SUM(+AC61-AF61),1)</f>
        <v>-0.1</v>
      </c>
      <c r="AJ61" s="264"/>
      <c r="AK61" s="607">
        <f>ROUND(IF(AF61=0,1,AI61/ABS(AF61)),3)</f>
        <v>-0.33300000000000002</v>
      </c>
      <c r="AL61" s="1526"/>
    </row>
    <row r="62" spans="1:38" ht="15" customHeight="1">
      <c r="A62" s="35"/>
      <c r="B62" s="384" t="s">
        <v>126</v>
      </c>
      <c r="C62" s="291"/>
      <c r="D62" s="287">
        <v>3.4</v>
      </c>
      <c r="E62" s="268"/>
      <c r="F62" s="287">
        <v>3.5000000000000004</v>
      </c>
      <c r="G62" s="287"/>
      <c r="H62" s="287">
        <f t="shared" si="5"/>
        <v>1.5000000000000004</v>
      </c>
      <c r="I62" s="268"/>
      <c r="J62" s="287"/>
      <c r="K62" s="553"/>
      <c r="L62" s="287"/>
      <c r="M62" s="553"/>
      <c r="N62" s="287"/>
      <c r="O62" s="553"/>
      <c r="P62" s="287"/>
      <c r="Q62" s="553"/>
      <c r="R62" s="287"/>
      <c r="S62" s="553"/>
      <c r="T62" s="287"/>
      <c r="U62" s="553"/>
      <c r="V62" s="287"/>
      <c r="W62" s="553"/>
      <c r="X62" s="287"/>
      <c r="Y62" s="553"/>
      <c r="Z62" s="287"/>
      <c r="AA62" s="264"/>
      <c r="AB62" s="523"/>
      <c r="AC62" s="531">
        <v>8.4</v>
      </c>
      <c r="AD62" s="287"/>
      <c r="AE62" s="1763"/>
      <c r="AF62" s="531">
        <v>7.9</v>
      </c>
      <c r="AG62" s="519"/>
      <c r="AH62" s="264"/>
      <c r="AI62" s="264">
        <f>ROUND(SUM(+AC62-AF62),1)</f>
        <v>0.5</v>
      </c>
      <c r="AJ62" s="264"/>
      <c r="AK62" s="266">
        <f>ROUND(IF(AF62=0,0,AI62/ABS(AF62)),3)</f>
        <v>6.3E-2</v>
      </c>
      <c r="AL62" s="1526"/>
    </row>
    <row r="63" spans="1:38" ht="15" customHeight="1">
      <c r="A63" s="35"/>
      <c r="B63" s="384" t="s">
        <v>127</v>
      </c>
      <c r="C63" s="291"/>
      <c r="D63" s="287"/>
      <c r="E63" s="268"/>
      <c r="F63" s="287"/>
      <c r="G63" s="287"/>
      <c r="H63" s="287"/>
      <c r="I63" s="268"/>
      <c r="J63" s="287"/>
      <c r="K63" s="553"/>
      <c r="L63" s="287"/>
      <c r="M63" s="553"/>
      <c r="N63" s="287"/>
      <c r="O63" s="553"/>
      <c r="P63" s="287"/>
      <c r="Q63" s="553"/>
      <c r="R63" s="287"/>
      <c r="S63" s="553"/>
      <c r="T63" s="287"/>
      <c r="U63" s="553"/>
      <c r="V63" s="287"/>
      <c r="W63" s="553"/>
      <c r="X63" s="287"/>
      <c r="Y63" s="553"/>
      <c r="Z63" s="287"/>
      <c r="AA63" s="264"/>
      <c r="AB63" s="523"/>
      <c r="AC63" s="512"/>
      <c r="AD63" s="287"/>
      <c r="AE63" s="1763"/>
      <c r="AF63" s="512"/>
      <c r="AG63" s="519"/>
      <c r="AH63" s="264"/>
      <c r="AI63" s="287"/>
      <c r="AJ63" s="383"/>
      <c r="AK63" s="535"/>
      <c r="AL63" s="1526"/>
    </row>
    <row r="64" spans="1:38" ht="15" customHeight="1">
      <c r="A64" s="35"/>
      <c r="B64" s="1027" t="s">
        <v>128</v>
      </c>
      <c r="C64" s="291"/>
      <c r="D64" s="287">
        <v>4947.7</v>
      </c>
      <c r="E64" s="268"/>
      <c r="F64" s="287">
        <v>4670.0999999999995</v>
      </c>
      <c r="G64" s="287"/>
      <c r="H64" s="287">
        <f t="shared" si="5"/>
        <v>4787.7000000000016</v>
      </c>
      <c r="I64" s="268"/>
      <c r="J64" s="287"/>
      <c r="K64" s="553"/>
      <c r="L64" s="287"/>
      <c r="M64" s="553"/>
      <c r="N64" s="287"/>
      <c r="O64" s="553"/>
      <c r="P64" s="287"/>
      <c r="Q64" s="553"/>
      <c r="R64" s="287"/>
      <c r="S64" s="553"/>
      <c r="T64" s="287"/>
      <c r="U64" s="553"/>
      <c r="V64" s="287"/>
      <c r="W64" s="553"/>
      <c r="X64" s="287"/>
      <c r="Y64" s="553"/>
      <c r="Z64" s="287"/>
      <c r="AA64" s="264"/>
      <c r="AB64" s="523"/>
      <c r="AC64" s="531">
        <v>14405.5</v>
      </c>
      <c r="AD64" s="287"/>
      <c r="AE64" s="1763"/>
      <c r="AF64" s="531">
        <v>13983.8</v>
      </c>
      <c r="AG64" s="519"/>
      <c r="AH64" s="264"/>
      <c r="AI64" s="264">
        <f t="shared" ref="AI64:AI69" si="6">ROUND(SUM(+AC64-AF64),1)</f>
        <v>421.7</v>
      </c>
      <c r="AJ64" s="264"/>
      <c r="AK64" s="266">
        <f t="shared" ref="AK64:AK69" si="7">ROUND(IF(AF64=0,0,AI64/ABS(AF64)),3)</f>
        <v>0.03</v>
      </c>
      <c r="AL64" s="1526"/>
    </row>
    <row r="65" spans="1:38" ht="15" customHeight="1">
      <c r="A65" s="35"/>
      <c r="B65" s="384" t="s">
        <v>129</v>
      </c>
      <c r="C65" s="291"/>
      <c r="D65" s="287">
        <v>1305.7</v>
      </c>
      <c r="E65" s="268"/>
      <c r="F65" s="287">
        <v>1314.4999999999998</v>
      </c>
      <c r="G65" s="287"/>
      <c r="H65" s="287">
        <f t="shared" si="5"/>
        <v>1574.4000000000003</v>
      </c>
      <c r="I65" s="268"/>
      <c r="J65" s="287"/>
      <c r="K65" s="553"/>
      <c r="L65" s="287"/>
      <c r="M65" s="553"/>
      <c r="N65" s="287"/>
      <c r="O65" s="553"/>
      <c r="P65" s="287"/>
      <c r="Q65" s="553"/>
      <c r="R65" s="287"/>
      <c r="S65" s="553"/>
      <c r="T65" s="287"/>
      <c r="U65" s="553"/>
      <c r="V65" s="287"/>
      <c r="W65" s="553"/>
      <c r="X65" s="287"/>
      <c r="Y65" s="553"/>
      <c r="Z65" s="287"/>
      <c r="AA65" s="264"/>
      <c r="AB65" s="523"/>
      <c r="AC65" s="531">
        <v>4194.6000000000004</v>
      </c>
      <c r="AD65" s="287"/>
      <c r="AE65" s="1763"/>
      <c r="AF65" s="531">
        <v>4337.1000000000004</v>
      </c>
      <c r="AG65" s="519"/>
      <c r="AH65" s="264"/>
      <c r="AI65" s="264">
        <f t="shared" si="6"/>
        <v>-142.5</v>
      </c>
      <c r="AJ65" s="264"/>
      <c r="AK65" s="266">
        <f t="shared" si="7"/>
        <v>-3.3000000000000002E-2</v>
      </c>
      <c r="AL65" s="1526"/>
    </row>
    <row r="66" spans="1:38" ht="15" customHeight="1">
      <c r="A66" s="35"/>
      <c r="B66" s="384" t="s">
        <v>130</v>
      </c>
      <c r="C66" s="291"/>
      <c r="D66" s="287">
        <v>336.5</v>
      </c>
      <c r="E66" s="268"/>
      <c r="F66" s="287">
        <v>956</v>
      </c>
      <c r="G66" s="287"/>
      <c r="H66" s="287">
        <f t="shared" si="5"/>
        <v>472.29999999999995</v>
      </c>
      <c r="I66" s="268"/>
      <c r="J66" s="287"/>
      <c r="K66" s="553"/>
      <c r="L66" s="287"/>
      <c r="M66" s="553"/>
      <c r="N66" s="287"/>
      <c r="O66" s="553"/>
      <c r="P66" s="287"/>
      <c r="Q66" s="553"/>
      <c r="R66" s="287"/>
      <c r="S66" s="553"/>
      <c r="T66" s="287"/>
      <c r="U66" s="553"/>
      <c r="V66" s="287"/>
      <c r="W66" s="553"/>
      <c r="X66" s="287"/>
      <c r="Y66" s="553"/>
      <c r="Z66" s="287"/>
      <c r="AA66" s="264"/>
      <c r="AB66" s="523"/>
      <c r="AC66" s="531">
        <v>1764.8</v>
      </c>
      <c r="AD66" s="287"/>
      <c r="AE66" s="1763"/>
      <c r="AF66" s="531">
        <v>1117.2</v>
      </c>
      <c r="AG66" s="519"/>
      <c r="AH66" s="264"/>
      <c r="AI66" s="264">
        <f t="shared" si="6"/>
        <v>647.6</v>
      </c>
      <c r="AJ66" s="264"/>
      <c r="AK66" s="542">
        <f t="shared" si="7"/>
        <v>0.57999999999999996</v>
      </c>
      <c r="AL66" s="1526"/>
    </row>
    <row r="67" spans="1:38" ht="15" customHeight="1">
      <c r="A67" s="35"/>
      <c r="B67" s="384" t="s">
        <v>131</v>
      </c>
      <c r="C67" s="291"/>
      <c r="D67" s="287">
        <v>397.1</v>
      </c>
      <c r="E67" s="268"/>
      <c r="F67" s="287">
        <v>431.29999999999995</v>
      </c>
      <c r="G67" s="287"/>
      <c r="H67" s="287">
        <f t="shared" si="5"/>
        <v>894.19999999999993</v>
      </c>
      <c r="I67" s="268"/>
      <c r="J67" s="287"/>
      <c r="K67" s="553"/>
      <c r="L67" s="287"/>
      <c r="M67" s="553"/>
      <c r="N67" s="287"/>
      <c r="O67" s="553"/>
      <c r="P67" s="287"/>
      <c r="Q67" s="553"/>
      <c r="R67" s="287"/>
      <c r="S67" s="553"/>
      <c r="T67" s="287"/>
      <c r="U67" s="553"/>
      <c r="V67" s="287"/>
      <c r="W67" s="553"/>
      <c r="X67" s="287"/>
      <c r="Y67" s="553"/>
      <c r="Z67" s="287"/>
      <c r="AA67" s="264"/>
      <c r="AB67" s="523"/>
      <c r="AC67" s="531">
        <v>1722.6</v>
      </c>
      <c r="AD67" s="287"/>
      <c r="AE67" s="1763"/>
      <c r="AF67" s="531">
        <v>1887.9</v>
      </c>
      <c r="AG67" s="519"/>
      <c r="AH67" s="264"/>
      <c r="AI67" s="264">
        <f t="shared" si="6"/>
        <v>-165.3</v>
      </c>
      <c r="AJ67" s="264"/>
      <c r="AK67" s="266">
        <f t="shared" si="7"/>
        <v>-8.7999999999999995E-2</v>
      </c>
      <c r="AL67" s="1526"/>
    </row>
    <row r="68" spans="1:38" ht="15" customHeight="1">
      <c r="A68" s="35"/>
      <c r="B68" s="384" t="s">
        <v>132</v>
      </c>
      <c r="C68" s="291"/>
      <c r="D68" s="287">
        <v>0</v>
      </c>
      <c r="E68" s="268"/>
      <c r="F68" s="287">
        <v>0</v>
      </c>
      <c r="G68" s="287"/>
      <c r="H68" s="287">
        <f t="shared" si="5"/>
        <v>0</v>
      </c>
      <c r="I68" s="268"/>
      <c r="J68" s="287"/>
      <c r="K68" s="553"/>
      <c r="L68" s="287"/>
      <c r="M68" s="553"/>
      <c r="N68" s="287"/>
      <c r="O68" s="553"/>
      <c r="P68" s="287"/>
      <c r="Q68" s="553"/>
      <c r="R68" s="287"/>
      <c r="S68" s="553"/>
      <c r="T68" s="287"/>
      <c r="U68" s="553"/>
      <c r="V68" s="287"/>
      <c r="W68" s="553"/>
      <c r="X68" s="287"/>
      <c r="Y68" s="553"/>
      <c r="Z68" s="287"/>
      <c r="AA68" s="264"/>
      <c r="AB68" s="523"/>
      <c r="AC68" s="531">
        <v>0</v>
      </c>
      <c r="AD68" s="287"/>
      <c r="AE68" s="1763"/>
      <c r="AF68" s="531">
        <v>2.8</v>
      </c>
      <c r="AG68" s="519"/>
      <c r="AH68" s="264"/>
      <c r="AI68" s="264">
        <f t="shared" si="6"/>
        <v>-2.8</v>
      </c>
      <c r="AJ68" s="264"/>
      <c r="AK68" s="931">
        <f>ROUND(IF(AF68=0,1,AI68/ABS(AF68)),3)</f>
        <v>-1</v>
      </c>
      <c r="AL68" s="1526"/>
    </row>
    <row r="69" spans="1:38" ht="15" customHeight="1">
      <c r="A69" s="35"/>
      <c r="B69" s="384" t="s">
        <v>133</v>
      </c>
      <c r="C69" s="291"/>
      <c r="D69" s="287">
        <v>4.5</v>
      </c>
      <c r="E69" s="268"/>
      <c r="F69" s="287">
        <v>17.2</v>
      </c>
      <c r="G69" s="287"/>
      <c r="H69" s="287">
        <f t="shared" si="5"/>
        <v>9.5</v>
      </c>
      <c r="I69" s="268"/>
      <c r="J69" s="287"/>
      <c r="K69" s="553"/>
      <c r="L69" s="287"/>
      <c r="M69" s="553"/>
      <c r="N69" s="287"/>
      <c r="O69" s="553"/>
      <c r="P69" s="287"/>
      <c r="Q69" s="553"/>
      <c r="R69" s="287"/>
      <c r="S69" s="553"/>
      <c r="T69" s="287"/>
      <c r="U69" s="553"/>
      <c r="V69" s="287"/>
      <c r="W69" s="553"/>
      <c r="X69" s="287"/>
      <c r="Y69" s="553"/>
      <c r="Z69" s="287"/>
      <c r="AA69" s="264"/>
      <c r="AB69" s="523"/>
      <c r="AC69" s="531">
        <v>31.2</v>
      </c>
      <c r="AD69" s="287"/>
      <c r="AE69" s="1763"/>
      <c r="AF69" s="531">
        <v>23.5</v>
      </c>
      <c r="AG69" s="519"/>
      <c r="AH69" s="264"/>
      <c r="AI69" s="264">
        <f t="shared" si="6"/>
        <v>7.7</v>
      </c>
      <c r="AJ69" s="264"/>
      <c r="AK69" s="533">
        <f t="shared" si="7"/>
        <v>0.32800000000000001</v>
      </c>
      <c r="AL69" s="1526"/>
    </row>
    <row r="70" spans="1:38" ht="15" customHeight="1">
      <c r="A70" s="35"/>
      <c r="B70" s="3" t="s">
        <v>534</v>
      </c>
      <c r="C70" s="291"/>
      <c r="D70" s="616">
        <f>ROUND(SUM(D60:D69),2)</f>
        <v>7483.3</v>
      </c>
      <c r="E70" s="40"/>
      <c r="F70" s="616">
        <f>ROUND(SUM(F60:F69),2)</f>
        <v>7749.2</v>
      </c>
      <c r="G70" s="40"/>
      <c r="H70" s="616">
        <f>ROUND(SUM(H60:H69),2)</f>
        <v>8512.4</v>
      </c>
      <c r="I70" s="40"/>
      <c r="J70" s="616">
        <f>ROUND(SUM(J60:J69),2)</f>
        <v>0</v>
      </c>
      <c r="K70" s="40"/>
      <c r="L70" s="616">
        <f>ROUND(SUM(L60:L69),2)</f>
        <v>0</v>
      </c>
      <c r="M70" s="40"/>
      <c r="N70" s="616">
        <f>ROUND(SUM(N60:N69),2)</f>
        <v>0</v>
      </c>
      <c r="O70" s="40"/>
      <c r="P70" s="616">
        <f>ROUND(SUM(P60:P69),2)</f>
        <v>0</v>
      </c>
      <c r="Q70" s="40"/>
      <c r="R70" s="616">
        <f>ROUND(SUM(R60:R69),2)</f>
        <v>0</v>
      </c>
      <c r="S70" s="13"/>
      <c r="T70" s="616">
        <f>ROUND(SUM(T60:T69),2)</f>
        <v>0</v>
      </c>
      <c r="U70" s="40"/>
      <c r="V70" s="616">
        <f>ROUND(SUM(V60:V69),2)</f>
        <v>0</v>
      </c>
      <c r="W70" s="13"/>
      <c r="X70" s="616">
        <f>ROUND(SUM(X60:X69),2)</f>
        <v>0</v>
      </c>
      <c r="Y70" s="13"/>
      <c r="Z70" s="616">
        <f>ROUND(SUM(Z60:Z69),2)</f>
        <v>0</v>
      </c>
      <c r="AA70" s="40"/>
      <c r="AB70" s="668"/>
      <c r="AC70" s="673">
        <f>ROUND(SUM(AC60:AC69),2)</f>
        <v>23744.9</v>
      </c>
      <c r="AD70" s="13"/>
      <c r="AE70" s="669"/>
      <c r="AF70" s="673">
        <f>ROUND(SUM(AF60:AF69),2)</f>
        <v>22825.4</v>
      </c>
      <c r="AG70" s="75"/>
      <c r="AH70" s="13"/>
      <c r="AI70" s="964">
        <f>ROUND(SUM(AC70-AF70),1)</f>
        <v>919.5</v>
      </c>
      <c r="AJ70" s="76"/>
      <c r="AK70" s="1048">
        <f>ROUND(SUM((AC70-AF70)/ABS(AF70)),3)</f>
        <v>0.04</v>
      </c>
      <c r="AL70" s="1526"/>
    </row>
    <row r="71" spans="1:38" ht="15" customHeight="1">
      <c r="A71" s="35"/>
      <c r="B71" s="291" t="s">
        <v>453</v>
      </c>
      <c r="C71" s="291"/>
      <c r="D71" s="268"/>
      <c r="E71" s="268"/>
      <c r="F71" s="264"/>
      <c r="G71" s="268"/>
      <c r="H71" s="264"/>
      <c r="I71" s="268"/>
      <c r="J71" s="264"/>
      <c r="K71" s="268"/>
      <c r="L71" s="264"/>
      <c r="M71" s="268"/>
      <c r="N71" s="264"/>
      <c r="O71" s="268"/>
      <c r="P71" s="264"/>
      <c r="Q71" s="268"/>
      <c r="R71" s="264"/>
      <c r="S71" s="268"/>
      <c r="T71" s="264"/>
      <c r="U71" s="268"/>
      <c r="V71" s="264"/>
      <c r="W71" s="264"/>
      <c r="X71" s="264"/>
      <c r="Y71" s="264"/>
      <c r="Z71" s="264"/>
      <c r="AA71" s="268"/>
      <c r="AB71" s="667"/>
      <c r="AC71" s="268"/>
      <c r="AD71" s="268"/>
      <c r="AE71" s="1047"/>
      <c r="AF71" s="268"/>
      <c r="AG71" s="1228"/>
      <c r="AH71" s="364"/>
      <c r="AI71" s="530"/>
      <c r="AJ71" s="530"/>
      <c r="AK71" s="535"/>
      <c r="AL71" s="1526"/>
    </row>
    <row r="72" spans="1:38" ht="15" customHeight="1">
      <c r="A72" s="35"/>
      <c r="B72" s="291" t="s">
        <v>454</v>
      </c>
      <c r="C72" s="291"/>
      <c r="D72" s="287">
        <v>66.900000000000006</v>
      </c>
      <c r="E72" s="268"/>
      <c r="F72" s="287">
        <v>59.399999999999991</v>
      </c>
      <c r="G72" s="268"/>
      <c r="H72" s="287">
        <f>$AC72-F72-D72</f>
        <v>58.000000000000014</v>
      </c>
      <c r="I72" s="268"/>
      <c r="J72" s="287"/>
      <c r="K72" s="553"/>
      <c r="L72" s="287"/>
      <c r="M72" s="553"/>
      <c r="N72" s="287"/>
      <c r="O72" s="553"/>
      <c r="P72" s="287"/>
      <c r="Q72" s="553"/>
      <c r="R72" s="287"/>
      <c r="S72" s="553"/>
      <c r="T72" s="287"/>
      <c r="U72" s="553"/>
      <c r="V72" s="287"/>
      <c r="W72" s="553"/>
      <c r="X72" s="287"/>
      <c r="Y72" s="553"/>
      <c r="Z72" s="287"/>
      <c r="AA72" s="264"/>
      <c r="AB72" s="1329"/>
      <c r="AC72" s="531">
        <v>184.3</v>
      </c>
      <c r="AD72" s="287"/>
      <c r="AE72" s="1763"/>
      <c r="AF72" s="531">
        <v>224.1</v>
      </c>
      <c r="AG72" s="519"/>
      <c r="AH72" s="264"/>
      <c r="AI72" s="264">
        <f>ROUND(SUM(+AC72-AF72),1)</f>
        <v>-39.799999999999997</v>
      </c>
      <c r="AJ72" s="264"/>
      <c r="AK72" s="266">
        <f>ROUND(IF(AF72=0,0,AI72/ABS(AF72)),3)</f>
        <v>-0.17799999999999999</v>
      </c>
      <c r="AL72" s="1526"/>
    </row>
    <row r="73" spans="1:38" ht="15" customHeight="1">
      <c r="A73" s="35"/>
      <c r="B73" s="291" t="s">
        <v>535</v>
      </c>
      <c r="C73" s="291"/>
      <c r="D73" s="287">
        <v>73.400000000000006</v>
      </c>
      <c r="E73" s="268"/>
      <c r="F73" s="287">
        <v>76.799999999999983</v>
      </c>
      <c r="G73" s="268"/>
      <c r="H73" s="287">
        <f t="shared" ref="H73:H77" si="8">$AC73-F73-D73</f>
        <v>212.70000000000002</v>
      </c>
      <c r="I73" s="268"/>
      <c r="J73" s="287"/>
      <c r="K73" s="553"/>
      <c r="L73" s="287"/>
      <c r="M73" s="553"/>
      <c r="N73" s="287"/>
      <c r="O73" s="553"/>
      <c r="P73" s="287"/>
      <c r="Q73" s="553"/>
      <c r="R73" s="287"/>
      <c r="S73" s="553"/>
      <c r="T73" s="287"/>
      <c r="U73" s="553"/>
      <c r="V73" s="287"/>
      <c r="W73" s="553"/>
      <c r="X73" s="287"/>
      <c r="Y73" s="553"/>
      <c r="Z73" s="287"/>
      <c r="AA73" s="264"/>
      <c r="AB73" s="1329"/>
      <c r="AC73" s="531">
        <v>362.9</v>
      </c>
      <c r="AD73" s="287"/>
      <c r="AE73" s="1763"/>
      <c r="AF73" s="531">
        <v>324.5</v>
      </c>
      <c r="AG73" s="519"/>
      <c r="AH73" s="264"/>
      <c r="AI73" s="264">
        <f>ROUND(SUM(+AC73-AF73),1)</f>
        <v>38.4</v>
      </c>
      <c r="AJ73" s="264"/>
      <c r="AK73" s="266">
        <f>ROUND(IF(AF73=0,0,AI73/ABS(AF73)),3)</f>
        <v>0.11799999999999999</v>
      </c>
      <c r="AL73" s="1526"/>
    </row>
    <row r="74" spans="1:38" ht="15" customHeight="1">
      <c r="A74" s="35"/>
      <c r="B74" s="291" t="s">
        <v>456</v>
      </c>
      <c r="C74" s="291"/>
      <c r="D74" s="287">
        <v>0</v>
      </c>
      <c r="E74" s="268"/>
      <c r="F74" s="287">
        <v>0</v>
      </c>
      <c r="G74" s="268"/>
      <c r="H74" s="287">
        <f t="shared" si="8"/>
        <v>95.2</v>
      </c>
      <c r="I74" s="268"/>
      <c r="J74" s="287"/>
      <c r="K74" s="553"/>
      <c r="L74" s="287"/>
      <c r="M74" s="553"/>
      <c r="N74" s="287"/>
      <c r="O74" s="553"/>
      <c r="P74" s="287"/>
      <c r="Q74" s="553"/>
      <c r="R74" s="287"/>
      <c r="S74" s="553"/>
      <c r="T74" s="287"/>
      <c r="U74" s="553"/>
      <c r="V74" s="287"/>
      <c r="W74" s="553"/>
      <c r="X74" s="287"/>
      <c r="Y74" s="553"/>
      <c r="Z74" s="287"/>
      <c r="AA74" s="264"/>
      <c r="AB74" s="1329"/>
      <c r="AC74" s="531">
        <v>95.2</v>
      </c>
      <c r="AD74" s="287"/>
      <c r="AE74" s="1763"/>
      <c r="AF74" s="531">
        <v>103.7</v>
      </c>
      <c r="AG74" s="519"/>
      <c r="AH74" s="264"/>
      <c r="AI74" s="264">
        <f>ROUND(SUM(+AC74-AF74),1)</f>
        <v>-8.5</v>
      </c>
      <c r="AJ74" s="264"/>
      <c r="AK74" s="266">
        <f>ROUND(IF(AF74=0,0,AI74/ABS(AF74)),3)</f>
        <v>-8.2000000000000003E-2</v>
      </c>
      <c r="AL74" s="1526"/>
    </row>
    <row r="75" spans="1:38" ht="15" customHeight="1">
      <c r="A75" s="35"/>
      <c r="B75" s="62" t="s">
        <v>512</v>
      </c>
      <c r="C75" s="291"/>
      <c r="D75" s="287"/>
      <c r="E75" s="268"/>
      <c r="F75" s="287"/>
      <c r="G75" s="268"/>
      <c r="H75" s="287"/>
      <c r="I75" s="268"/>
      <c r="J75" s="287"/>
      <c r="K75" s="553"/>
      <c r="L75" s="287"/>
      <c r="M75" s="553"/>
      <c r="N75" s="287"/>
      <c r="O75" s="553"/>
      <c r="P75" s="287"/>
      <c r="Q75" s="553"/>
      <c r="R75" s="287"/>
      <c r="S75" s="553"/>
      <c r="T75" s="287"/>
      <c r="U75" s="553"/>
      <c r="V75" s="287"/>
      <c r="W75" s="553"/>
      <c r="X75" s="287"/>
      <c r="Y75" s="553"/>
      <c r="Z75" s="287"/>
      <c r="AA75" s="264"/>
      <c r="AB75" s="523"/>
      <c r="AC75" s="531" t="s">
        <v>103</v>
      </c>
      <c r="AD75" s="264"/>
      <c r="AE75" s="524"/>
      <c r="AF75" s="531" t="s">
        <v>103</v>
      </c>
      <c r="AG75" s="519"/>
      <c r="AH75" s="264"/>
      <c r="AI75" s="264"/>
      <c r="AJ75" s="264"/>
      <c r="AK75" s="266"/>
      <c r="AL75" s="1526"/>
    </row>
    <row r="76" spans="1:38" ht="15" customHeight="1">
      <c r="A76" s="35"/>
      <c r="B76" s="62" t="s">
        <v>1458</v>
      </c>
      <c r="C76" s="291"/>
      <c r="D76" s="287">
        <v>0</v>
      </c>
      <c r="E76" s="268"/>
      <c r="F76" s="287">
        <v>0</v>
      </c>
      <c r="G76" s="268"/>
      <c r="H76" s="287">
        <f t="shared" si="8"/>
        <v>0</v>
      </c>
      <c r="I76" s="268"/>
      <c r="J76" s="287"/>
      <c r="K76" s="553"/>
      <c r="L76" s="287"/>
      <c r="M76" s="553"/>
      <c r="N76" s="287"/>
      <c r="O76" s="553"/>
      <c r="P76" s="287"/>
      <c r="Q76" s="553"/>
      <c r="R76" s="287"/>
      <c r="S76" s="553"/>
      <c r="T76" s="287"/>
      <c r="U76" s="553"/>
      <c r="V76" s="287"/>
      <c r="W76" s="553"/>
      <c r="X76" s="287"/>
      <c r="Y76" s="553"/>
      <c r="Z76" s="287"/>
      <c r="AA76" s="264"/>
      <c r="AB76" s="523"/>
      <c r="AC76" s="531">
        <v>0</v>
      </c>
      <c r="AD76" s="287"/>
      <c r="AE76" s="1763"/>
      <c r="AF76" s="531">
        <v>0</v>
      </c>
      <c r="AG76" s="519"/>
      <c r="AH76" s="264"/>
      <c r="AI76" s="264">
        <f>ROUND(SUM(+AC76-AF76),1)</f>
        <v>0</v>
      </c>
      <c r="AJ76" s="264"/>
      <c r="AK76" s="266">
        <f>ROUND(IF(AF76=0,0,AI76/ABS(AF76)),3)</f>
        <v>0</v>
      </c>
      <c r="AL76" s="1526"/>
    </row>
    <row r="77" spans="1:38" ht="15" customHeight="1">
      <c r="A77" s="35"/>
      <c r="B77" s="291" t="s">
        <v>536</v>
      </c>
      <c r="C77" s="291"/>
      <c r="D77" s="287">
        <v>0</v>
      </c>
      <c r="E77" s="268"/>
      <c r="F77" s="287">
        <v>0</v>
      </c>
      <c r="G77" s="268"/>
      <c r="H77" s="287">
        <f t="shared" si="8"/>
        <v>0</v>
      </c>
      <c r="I77" s="268"/>
      <c r="J77" s="287"/>
      <c r="K77" s="553"/>
      <c r="L77" s="287"/>
      <c r="M77" s="553"/>
      <c r="N77" s="287"/>
      <c r="O77" s="553"/>
      <c r="P77" s="287"/>
      <c r="Q77" s="553"/>
      <c r="R77" s="287"/>
      <c r="S77" s="553"/>
      <c r="T77" s="287"/>
      <c r="U77" s="553"/>
      <c r="V77" s="287"/>
      <c r="W77" s="553"/>
      <c r="X77" s="287"/>
      <c r="Y77" s="553"/>
      <c r="Z77" s="287"/>
      <c r="AA77" s="264"/>
      <c r="AB77" s="523"/>
      <c r="AC77" s="531">
        <v>0</v>
      </c>
      <c r="AD77" s="287"/>
      <c r="AE77" s="1763"/>
      <c r="AF77" s="531">
        <v>0</v>
      </c>
      <c r="AG77" s="519"/>
      <c r="AH77" s="264"/>
      <c r="AI77" s="264">
        <f>ROUND(SUM(+AC77-AF77),1)</f>
        <v>0</v>
      </c>
      <c r="AJ77" s="264"/>
      <c r="AK77" s="533">
        <f>ROUND(IF(AF77=0,0,AI77/ABS(AF77)),3)</f>
        <v>0</v>
      </c>
      <c r="AL77" s="1526"/>
    </row>
    <row r="78" spans="1:38" ht="15" customHeight="1">
      <c r="A78" s="35"/>
      <c r="B78" s="291"/>
      <c r="C78" s="291"/>
      <c r="D78" s="1029"/>
      <c r="E78" s="268"/>
      <c r="F78" s="615"/>
      <c r="G78" s="268"/>
      <c r="H78" s="615"/>
      <c r="I78" s="268"/>
      <c r="J78" s="615"/>
      <c r="K78" s="268"/>
      <c r="L78" s="615"/>
      <c r="M78" s="268"/>
      <c r="N78" s="615"/>
      <c r="O78" s="268"/>
      <c r="P78" s="615"/>
      <c r="Q78" s="268"/>
      <c r="R78" s="615"/>
      <c r="S78" s="268"/>
      <c r="T78" s="615"/>
      <c r="U78" s="268"/>
      <c r="V78" s="615"/>
      <c r="W78" s="264"/>
      <c r="X78" s="615"/>
      <c r="Y78" s="264"/>
      <c r="Z78" s="615"/>
      <c r="AA78" s="268"/>
      <c r="AB78" s="667"/>
      <c r="AC78" s="615"/>
      <c r="AD78" s="264"/>
      <c r="AE78" s="524"/>
      <c r="AF78" s="615"/>
      <c r="AG78" s="519"/>
      <c r="AH78" s="264"/>
      <c r="AI78" s="615"/>
      <c r="AJ78" s="530"/>
      <c r="AK78" s="283"/>
      <c r="AL78" s="1526"/>
    </row>
    <row r="79" spans="1:38" ht="15" customHeight="1">
      <c r="A79" s="35"/>
      <c r="B79" s="3" t="s">
        <v>457</v>
      </c>
      <c r="C79" s="291"/>
      <c r="D79" s="13">
        <f>ROUND(SUM(D70:D77),1)</f>
        <v>7623.6</v>
      </c>
      <c r="E79" s="40"/>
      <c r="F79" s="13">
        <f>ROUND(SUM(F70:F77),1)</f>
        <v>7885.4</v>
      </c>
      <c r="G79" s="40"/>
      <c r="H79" s="13">
        <f>ROUND(SUM(H70:H77),1)</f>
        <v>8878.2999999999993</v>
      </c>
      <c r="I79" s="40"/>
      <c r="J79" s="13">
        <f>ROUND(SUM(J70:J77),1)</f>
        <v>0</v>
      </c>
      <c r="K79" s="40"/>
      <c r="L79" s="13">
        <f>ROUND(SUM(L70:L77),1)</f>
        <v>0</v>
      </c>
      <c r="M79" s="40"/>
      <c r="N79" s="13">
        <f>ROUND(SUM(N70:N77),1)</f>
        <v>0</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68"/>
      <c r="AC79" s="13">
        <f>ROUND(SUM(AC70:AC77),1)</f>
        <v>24387.3</v>
      </c>
      <c r="AD79" s="13"/>
      <c r="AE79" s="669"/>
      <c r="AF79" s="13">
        <f>ROUND(SUM(AF70:AF77),1)</f>
        <v>23477.7</v>
      </c>
      <c r="AG79" s="75"/>
      <c r="AH79" s="13"/>
      <c r="AI79" s="984">
        <f>ROUND(SUM(AC79-AF79),1)</f>
        <v>909.6</v>
      </c>
      <c r="AJ79" s="688"/>
      <c r="AK79" s="536">
        <f>ROUND(SUM((AC79-AF79)/ABS(AF79)),3)</f>
        <v>3.9E-2</v>
      </c>
      <c r="AL79" s="1526"/>
    </row>
    <row r="80" spans="1:38" ht="15" customHeight="1">
      <c r="A80" s="35"/>
      <c r="B80" s="291"/>
      <c r="C80" s="291"/>
      <c r="D80" s="1029"/>
      <c r="E80" s="268"/>
      <c r="F80" s="615"/>
      <c r="G80" s="268"/>
      <c r="H80" s="615"/>
      <c r="I80" s="268"/>
      <c r="J80" s="615"/>
      <c r="K80" s="268"/>
      <c r="L80" s="615"/>
      <c r="M80" s="268"/>
      <c r="N80" s="615"/>
      <c r="O80" s="268"/>
      <c r="P80" s="615"/>
      <c r="Q80" s="268"/>
      <c r="R80" s="615"/>
      <c r="S80" s="268"/>
      <c r="T80" s="615"/>
      <c r="U80" s="268"/>
      <c r="V80" s="615"/>
      <c r="W80" s="264"/>
      <c r="X80" s="615"/>
      <c r="Y80" s="264"/>
      <c r="Z80" s="615"/>
      <c r="AA80" s="268"/>
      <c r="AB80" s="667"/>
      <c r="AC80" s="615"/>
      <c r="AD80" s="264"/>
      <c r="AE80" s="524"/>
      <c r="AF80" s="615"/>
      <c r="AG80" s="519"/>
      <c r="AH80" s="422"/>
      <c r="AI80" s="287"/>
      <c r="AJ80" s="530"/>
      <c r="AK80" s="535"/>
      <c r="AL80" s="1526"/>
    </row>
    <row r="81" spans="1:38" ht="15" customHeight="1">
      <c r="A81" s="35"/>
      <c r="B81" s="3" t="s">
        <v>458</v>
      </c>
      <c r="C81" s="291"/>
      <c r="D81" s="268"/>
      <c r="E81" s="268"/>
      <c r="F81" s="264"/>
      <c r="G81" s="268"/>
      <c r="H81" s="264"/>
      <c r="I81" s="268"/>
      <c r="J81" s="264"/>
      <c r="K81" s="268"/>
      <c r="L81" s="264"/>
      <c r="M81" s="268"/>
      <c r="N81" s="264"/>
      <c r="O81" s="268"/>
      <c r="P81" s="264"/>
      <c r="Q81" s="268"/>
      <c r="R81" s="264"/>
      <c r="S81" s="268"/>
      <c r="T81" s="264"/>
      <c r="U81" s="268"/>
      <c r="V81" s="264"/>
      <c r="W81" s="264"/>
      <c r="X81" s="264"/>
      <c r="Y81" s="264"/>
      <c r="Z81" s="264"/>
      <c r="AA81" s="268"/>
      <c r="AB81" s="667"/>
      <c r="AC81" s="264"/>
      <c r="AD81" s="1232"/>
      <c r="AE81" s="1779"/>
      <c r="AF81" s="264"/>
      <c r="AG81" s="519"/>
      <c r="AH81" s="422"/>
      <c r="AI81" s="287"/>
      <c r="AJ81" s="530"/>
      <c r="AK81" s="535"/>
      <c r="AL81" s="1526"/>
    </row>
    <row r="82" spans="1:38" ht="15" customHeight="1">
      <c r="A82" s="35"/>
      <c r="B82" s="3" t="s">
        <v>144</v>
      </c>
      <c r="C82" s="291"/>
      <c r="D82" s="13">
        <f>ROUND(SUM(D56-D79),1)</f>
        <v>1423.6</v>
      </c>
      <c r="E82" s="40"/>
      <c r="F82" s="13">
        <f>ROUND(SUM(F56-F79),1)</f>
        <v>-787.4</v>
      </c>
      <c r="G82" s="40"/>
      <c r="H82" s="13">
        <f>ROUND(SUM(H56-H79),1)</f>
        <v>4692.3</v>
      </c>
      <c r="I82" s="40"/>
      <c r="J82" s="13">
        <f>ROUND(SUM(J56-J79),1)</f>
        <v>0</v>
      </c>
      <c r="K82" s="40"/>
      <c r="L82" s="13">
        <f>ROUND(SUM(L56-L79),1)</f>
        <v>0</v>
      </c>
      <c r="M82" s="40"/>
      <c r="N82" s="13">
        <f>ROUND(SUM(N56-N79),1)</f>
        <v>0</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68"/>
      <c r="AC82" s="13">
        <f>ROUND(SUM(AC56-AC79),1)</f>
        <v>5328.5</v>
      </c>
      <c r="AD82" s="13"/>
      <c r="AE82" s="669"/>
      <c r="AF82" s="13">
        <f>ROUND(SUM(AF56-AF79),1)</f>
        <v>1291.5</v>
      </c>
      <c r="AG82" s="75"/>
      <c r="AH82" s="13"/>
      <c r="AI82" s="984">
        <f>ROUND(SUM(AC82-AF82),1)</f>
        <v>4037</v>
      </c>
      <c r="AJ82" s="688"/>
      <c r="AK82" s="1050">
        <f>ROUND(SUM((AC82-AF82)/ABS(AF82)),3)</f>
        <v>3.1259999999999999</v>
      </c>
      <c r="AL82" s="1526"/>
    </row>
    <row r="83" spans="1:38" ht="15" customHeight="1">
      <c r="A83" s="35"/>
      <c r="B83" s="291"/>
      <c r="C83" s="291"/>
      <c r="D83" s="1029"/>
      <c r="E83" s="268"/>
      <c r="F83" s="615"/>
      <c r="G83" s="268"/>
      <c r="H83" s="615"/>
      <c r="I83" s="268"/>
      <c r="J83" s="615"/>
      <c r="K83" s="268"/>
      <c r="L83" s="615"/>
      <c r="M83" s="268"/>
      <c r="N83" s="615"/>
      <c r="O83" s="268"/>
      <c r="P83" s="615"/>
      <c r="Q83" s="268"/>
      <c r="R83" s="615"/>
      <c r="S83" s="268"/>
      <c r="T83" s="615"/>
      <c r="U83" s="268"/>
      <c r="V83" s="615"/>
      <c r="W83" s="264"/>
      <c r="X83" s="615"/>
      <c r="Y83" s="264"/>
      <c r="Z83" s="615"/>
      <c r="AA83" s="268"/>
      <c r="AB83" s="667"/>
      <c r="AC83" s="615"/>
      <c r="AD83" s="264"/>
      <c r="AE83" s="524"/>
      <c r="AF83" s="615"/>
      <c r="AG83" s="519"/>
      <c r="AH83" s="264"/>
      <c r="AI83" s="287"/>
      <c r="AJ83" s="530"/>
      <c r="AK83" s="535"/>
      <c r="AL83" s="1526"/>
    </row>
    <row r="84" spans="1:38" ht="15" customHeight="1">
      <c r="A84" s="35"/>
      <c r="B84" s="3" t="s">
        <v>145</v>
      </c>
      <c r="C84" s="291"/>
      <c r="D84" s="268"/>
      <c r="E84" s="268"/>
      <c r="F84" s="264"/>
      <c r="G84" s="268"/>
      <c r="H84" s="264"/>
      <c r="I84" s="268"/>
      <c r="J84" s="264"/>
      <c r="K84" s="268"/>
      <c r="L84" s="264"/>
      <c r="M84" s="268"/>
      <c r="N84" s="264"/>
      <c r="O84" s="268"/>
      <c r="P84" s="264"/>
      <c r="Q84" s="268"/>
      <c r="R84" s="264"/>
      <c r="S84" s="268"/>
      <c r="T84" s="264"/>
      <c r="U84" s="268"/>
      <c r="V84" s="264"/>
      <c r="W84" s="264"/>
      <c r="X84" s="264"/>
      <c r="Y84" s="264"/>
      <c r="Z84" s="264"/>
      <c r="AA84" s="268"/>
      <c r="AB84" s="667"/>
      <c r="AC84" s="264"/>
      <c r="AD84" s="264"/>
      <c r="AE84" s="524"/>
      <c r="AF84" s="264"/>
      <c r="AG84" s="519"/>
      <c r="AH84" s="264"/>
      <c r="AI84" s="287"/>
      <c r="AJ84" s="530"/>
      <c r="AK84" s="535"/>
      <c r="AL84" s="1526"/>
    </row>
    <row r="85" spans="1:38" ht="15" customHeight="1">
      <c r="A85" s="35"/>
      <c r="B85" s="291" t="s">
        <v>537</v>
      </c>
      <c r="C85" s="291"/>
      <c r="D85" s="287">
        <v>0</v>
      </c>
      <c r="E85" s="268"/>
      <c r="F85" s="287">
        <v>0</v>
      </c>
      <c r="G85" s="268"/>
      <c r="H85" s="287">
        <f>$AC85-F85-D85</f>
        <v>0</v>
      </c>
      <c r="I85" s="268"/>
      <c r="J85" s="287"/>
      <c r="K85" s="553"/>
      <c r="L85" s="287"/>
      <c r="M85" s="553"/>
      <c r="N85" s="287"/>
      <c r="O85" s="553"/>
      <c r="P85" s="287"/>
      <c r="Q85" s="553"/>
      <c r="R85" s="287"/>
      <c r="S85" s="553"/>
      <c r="T85" s="287"/>
      <c r="U85" s="553"/>
      <c r="V85" s="287"/>
      <c r="W85" s="553"/>
      <c r="X85" s="287"/>
      <c r="Y85" s="553"/>
      <c r="Z85" s="287"/>
      <c r="AA85" s="264"/>
      <c r="AB85" s="523"/>
      <c r="AC85" s="531">
        <v>0</v>
      </c>
      <c r="AD85" s="264"/>
      <c r="AE85" s="524"/>
      <c r="AF85" s="531">
        <v>0</v>
      </c>
      <c r="AG85" s="519"/>
      <c r="AH85" s="264"/>
      <c r="AI85" s="289">
        <f>ROUND(SUM(+AC85-AF85),1)</f>
        <v>0</v>
      </c>
      <c r="AJ85" s="264"/>
      <c r="AK85" s="266">
        <f>ROUND(IF(AF85=0,0,AI85/ABS(AF85)),3)</f>
        <v>0</v>
      </c>
      <c r="AL85" s="1526"/>
    </row>
    <row r="86" spans="1:38" ht="15" customHeight="1">
      <c r="A86" s="35"/>
      <c r="B86" s="291" t="s">
        <v>538</v>
      </c>
      <c r="C86" s="291"/>
      <c r="D86" s="287">
        <v>-253</v>
      </c>
      <c r="E86" s="268"/>
      <c r="F86" s="287">
        <v>-38</v>
      </c>
      <c r="G86" s="268"/>
      <c r="H86" s="287">
        <f>$AC86-F86-D86</f>
        <v>-322.5</v>
      </c>
      <c r="I86" s="268"/>
      <c r="J86" s="287"/>
      <c r="K86" s="553"/>
      <c r="L86" s="287"/>
      <c r="M86" s="553"/>
      <c r="N86" s="287"/>
      <c r="O86" s="553"/>
      <c r="P86" s="287"/>
      <c r="Q86" s="553"/>
      <c r="R86" s="287"/>
      <c r="S86" s="553"/>
      <c r="T86" s="287"/>
      <c r="U86" s="553"/>
      <c r="V86" s="287"/>
      <c r="W86" s="553"/>
      <c r="X86" s="287"/>
      <c r="Y86" s="553"/>
      <c r="Z86" s="287"/>
      <c r="AA86" s="264"/>
      <c r="AB86" s="523"/>
      <c r="AC86" s="531">
        <v>-613.5</v>
      </c>
      <c r="AD86" s="287"/>
      <c r="AE86" s="1763"/>
      <c r="AF86" s="985">
        <v>-650.5</v>
      </c>
      <c r="AG86" s="519"/>
      <c r="AH86" s="264"/>
      <c r="AI86" s="264">
        <f>ROUND(SUM(+AC86-AF86)*-1,1)</f>
        <v>-37</v>
      </c>
      <c r="AJ86" s="264"/>
      <c r="AK86" s="266">
        <f>ROUND(IF(AF86=0,0,AI86/ABS(AF86)),3)</f>
        <v>-5.7000000000000002E-2</v>
      </c>
      <c r="AL86" s="1526"/>
    </row>
    <row r="87" spans="1:38" ht="15" customHeight="1">
      <c r="A87" s="35"/>
      <c r="B87" s="291"/>
      <c r="C87" s="291"/>
      <c r="D87" s="1029"/>
      <c r="E87" s="268"/>
      <c r="F87" s="615"/>
      <c r="G87" s="268"/>
      <c r="H87" s="615"/>
      <c r="I87" s="268"/>
      <c r="J87" s="615"/>
      <c r="K87" s="268"/>
      <c r="L87" s="615"/>
      <c r="M87" s="268"/>
      <c r="N87" s="615"/>
      <c r="O87" s="268"/>
      <c r="P87" s="615"/>
      <c r="Q87" s="268"/>
      <c r="R87" s="615"/>
      <c r="S87" s="268"/>
      <c r="T87" s="615"/>
      <c r="U87" s="268"/>
      <c r="V87" s="615"/>
      <c r="W87" s="264"/>
      <c r="X87" s="615"/>
      <c r="Y87" s="264"/>
      <c r="Z87" s="615"/>
      <c r="AA87" s="268"/>
      <c r="AB87" s="667"/>
      <c r="AC87" s="615"/>
      <c r="AD87" s="264"/>
      <c r="AE87" s="524"/>
      <c r="AF87" s="264"/>
      <c r="AG87" s="519"/>
      <c r="AH87" s="264"/>
      <c r="AI87" s="1049"/>
      <c r="AJ87" s="530"/>
      <c r="AK87" s="1051"/>
      <c r="AL87" s="1526"/>
    </row>
    <row r="88" spans="1:38" ht="15" customHeight="1">
      <c r="A88" s="35"/>
      <c r="B88" s="3" t="s">
        <v>517</v>
      </c>
      <c r="C88" s="291"/>
      <c r="D88" s="13">
        <f>ROUND(SUM(D85:D87),1)</f>
        <v>-253</v>
      </c>
      <c r="E88" s="40"/>
      <c r="F88" s="13">
        <f>ROUND(SUM(F85:F87),1)</f>
        <v>-38</v>
      </c>
      <c r="G88" s="40"/>
      <c r="H88" s="13">
        <f>ROUND(SUM(H85:H87),1)</f>
        <v>-322.5</v>
      </c>
      <c r="I88" s="40"/>
      <c r="J88" s="13">
        <f>ROUND(SUM(J85:J87),1)</f>
        <v>0</v>
      </c>
      <c r="K88" s="40"/>
      <c r="L88" s="13">
        <f>ROUND(SUM(L85:L87),1)</f>
        <v>0</v>
      </c>
      <c r="M88" s="40"/>
      <c r="N88" s="13">
        <f>ROUND(SUM(N85:N87),1)</f>
        <v>0</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68"/>
      <c r="AC88" s="13">
        <f>ROUND(SUM(AC85:AC87),1)</f>
        <v>-613.5</v>
      </c>
      <c r="AD88" s="13"/>
      <c r="AE88" s="669"/>
      <c r="AF88" s="13">
        <f>ROUND(SUM(AF85:AF86),1)</f>
        <v>-650.5</v>
      </c>
      <c r="AG88" s="75"/>
      <c r="AH88" s="13"/>
      <c r="AI88" s="984">
        <f>-ROUND(SUM(AC88-AF88),1)</f>
        <v>-37</v>
      </c>
      <c r="AJ88" s="76"/>
      <c r="AK88" s="536">
        <f>ROUND(SUM((AC88-AF88)/(AF88)),3)</f>
        <v>-5.7000000000000002E-2</v>
      </c>
      <c r="AL88" s="1526"/>
    </row>
    <row r="89" spans="1:38" ht="15" customHeight="1">
      <c r="A89" s="35"/>
      <c r="B89" s="291"/>
      <c r="C89" s="291"/>
      <c r="D89" s="1029"/>
      <c r="E89" s="268"/>
      <c r="F89" s="1029"/>
      <c r="G89" s="268"/>
      <c r="H89" s="1029"/>
      <c r="I89" s="268"/>
      <c r="J89" s="1029"/>
      <c r="K89" s="268"/>
      <c r="L89" s="1029"/>
      <c r="M89" s="268"/>
      <c r="N89" s="1029"/>
      <c r="O89" s="268"/>
      <c r="P89" s="1029"/>
      <c r="Q89" s="268"/>
      <c r="R89" s="1029"/>
      <c r="S89" s="268"/>
      <c r="T89" s="1029"/>
      <c r="U89" s="268"/>
      <c r="V89" s="615"/>
      <c r="W89" s="264"/>
      <c r="X89" s="615"/>
      <c r="Y89" s="264"/>
      <c r="Z89" s="615"/>
      <c r="AA89" s="268"/>
      <c r="AB89" s="667"/>
      <c r="AC89" s="615"/>
      <c r="AD89" s="264"/>
      <c r="AE89" s="524"/>
      <c r="AF89" s="615"/>
      <c r="AG89" s="519"/>
      <c r="AH89" s="264"/>
      <c r="AI89" s="287"/>
      <c r="AJ89" s="530"/>
      <c r="AK89" s="535"/>
      <c r="AL89" s="1526"/>
    </row>
    <row r="90" spans="1:38" ht="15" customHeight="1">
      <c r="A90" s="35"/>
      <c r="B90" s="3" t="s">
        <v>469</v>
      </c>
      <c r="C90" s="291"/>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667"/>
      <c r="AC90" s="268"/>
      <c r="AD90" s="268"/>
      <c r="AE90" s="1047"/>
      <c r="AF90" s="268"/>
      <c r="AG90" s="1228"/>
      <c r="AH90" s="364"/>
      <c r="AI90" s="530"/>
      <c r="AJ90" s="530"/>
      <c r="AK90" s="535"/>
      <c r="AL90" s="1526"/>
    </row>
    <row r="91" spans="1:38" ht="15" customHeight="1">
      <c r="A91" s="35"/>
      <c r="B91" s="3" t="s">
        <v>470</v>
      </c>
      <c r="C91" s="291"/>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667"/>
      <c r="AC91" s="268"/>
      <c r="AD91" s="268"/>
      <c r="AE91" s="1047"/>
      <c r="AF91" s="20"/>
      <c r="AG91" s="1228"/>
      <c r="AH91" s="364"/>
      <c r="AI91" s="530"/>
      <c r="AJ91" s="530"/>
      <c r="AK91" s="535"/>
      <c r="AL91" s="1526"/>
    </row>
    <row r="92" spans="1:38" ht="15" customHeight="1">
      <c r="A92" s="35"/>
      <c r="B92" s="3" t="s">
        <v>518</v>
      </c>
      <c r="C92" s="291"/>
      <c r="D92" s="357">
        <f>ROUND(SUM(D82+D88),1)</f>
        <v>1170.5999999999999</v>
      </c>
      <c r="E92" s="268"/>
      <c r="F92" s="357">
        <f>ROUND(SUM(F82+F88),1)</f>
        <v>-825.4</v>
      </c>
      <c r="G92" s="268"/>
      <c r="H92" s="357">
        <f>ROUND(SUM(H82+H88),1)</f>
        <v>4369.8</v>
      </c>
      <c r="I92" s="264"/>
      <c r="J92" s="357">
        <f>ROUND(SUM(J82+J88),1)</f>
        <v>0</v>
      </c>
      <c r="K92" s="264"/>
      <c r="L92" s="357">
        <f>ROUND(SUM(L82+L88),1)</f>
        <v>0</v>
      </c>
      <c r="M92" s="264"/>
      <c r="N92" s="357">
        <f>ROUND(SUM(N82+N88),1)</f>
        <v>0</v>
      </c>
      <c r="O92" s="264"/>
      <c r="P92" s="357">
        <f>ROUND(SUM(P82+P88),1)</f>
        <v>0</v>
      </c>
      <c r="Q92" s="264"/>
      <c r="R92" s="357">
        <f>ROUND(SUM(R82+R88),1)</f>
        <v>0</v>
      </c>
      <c r="S92" s="264"/>
      <c r="T92" s="357">
        <f>ROUND(SUM(T82+T88),1)</f>
        <v>0</v>
      </c>
      <c r="U92" s="264"/>
      <c r="V92" s="357">
        <f>ROUND(SUM(V82+V88),1)</f>
        <v>0</v>
      </c>
      <c r="W92" s="264"/>
      <c r="X92" s="357">
        <f>ROUND(SUM(X82+X88),1)</f>
        <v>0</v>
      </c>
      <c r="Y92" s="264"/>
      <c r="Z92" s="357">
        <f>ROUND(SUM(Z82+Z88),1)</f>
        <v>0</v>
      </c>
      <c r="AA92" s="1232"/>
      <c r="AB92" s="264"/>
      <c r="AC92" s="357">
        <f>ROUND(SUM(AC82+AC88),1)</f>
        <v>4715</v>
      </c>
      <c r="AD92" s="1780"/>
      <c r="AE92" s="264"/>
      <c r="AF92" s="357">
        <f>ROUND(SUM(AF82+AF88),1)</f>
        <v>641</v>
      </c>
      <c r="AG92" s="1228"/>
      <c r="AH92" s="264"/>
      <c r="AI92" s="357">
        <f>ROUND(SUM(AI82-AI88),1)</f>
        <v>4074</v>
      </c>
      <c r="AJ92" s="287"/>
      <c r="AK92" s="611">
        <f>ROUND(SUM((AC92-AF92)/ABS(AF92)),3)</f>
        <v>6.3559999999999999</v>
      </c>
      <c r="AL92" s="1526"/>
    </row>
    <row r="93" spans="1:38" ht="15" customHeight="1">
      <c r="A93" s="35"/>
      <c r="B93" s="291"/>
      <c r="C93" s="291"/>
      <c r="D93" s="364"/>
      <c r="E93" s="364"/>
      <c r="F93" s="364"/>
      <c r="G93" s="364"/>
      <c r="H93" s="364"/>
      <c r="I93" s="364"/>
      <c r="J93" s="364"/>
      <c r="K93" s="364"/>
      <c r="L93" s="364"/>
      <c r="M93" s="364"/>
      <c r="N93" s="364"/>
      <c r="O93" s="364"/>
      <c r="P93" s="364"/>
      <c r="Q93" s="364"/>
      <c r="R93" s="364"/>
      <c r="S93" s="364"/>
      <c r="T93" s="20"/>
      <c r="U93" s="364"/>
      <c r="V93" s="364"/>
      <c r="W93" s="364"/>
      <c r="X93" s="364"/>
      <c r="Y93" s="364"/>
      <c r="Z93" s="364"/>
      <c r="AA93" s="364"/>
      <c r="AB93" s="1047"/>
      <c r="AC93" s="364"/>
      <c r="AD93" s="364"/>
      <c r="AE93" s="1047"/>
      <c r="AF93" s="364"/>
      <c r="AG93" s="364"/>
      <c r="AH93" s="1031"/>
      <c r="AI93" s="530"/>
      <c r="AJ93" s="530"/>
      <c r="AK93" s="535" t="s">
        <v>103</v>
      </c>
      <c r="AL93" s="1526"/>
    </row>
    <row r="94" spans="1:38" ht="20.25" customHeight="1" thickBot="1">
      <c r="A94" s="35"/>
      <c r="B94" s="3" t="s">
        <v>532</v>
      </c>
      <c r="C94" s="291"/>
      <c r="D94" s="70">
        <f>ROUND(SUM(+D13+D92),1)</f>
        <v>9647.2999999999993</v>
      </c>
      <c r="E94" s="364"/>
      <c r="F94" s="70">
        <f>ROUND(SUM(+F13+F92),1)</f>
        <v>8821.9</v>
      </c>
      <c r="G94" s="364"/>
      <c r="H94" s="70">
        <f>ROUND(SUM(+H13+H92),1)</f>
        <v>13191.7</v>
      </c>
      <c r="I94" s="364"/>
      <c r="J94" s="70">
        <f>ROUND(SUM(+J13+J92),1)</f>
        <v>0</v>
      </c>
      <c r="K94" s="364"/>
      <c r="L94" s="70">
        <f>ROUND(SUM(+L13+L92),1)</f>
        <v>0</v>
      </c>
      <c r="M94" s="364"/>
      <c r="N94" s="70">
        <f>ROUND(SUM(+N13+N92),1)</f>
        <v>0</v>
      </c>
      <c r="O94" s="364"/>
      <c r="P94" s="70">
        <f>ROUND(SUM(+P13+P92),1)</f>
        <v>0</v>
      </c>
      <c r="Q94" s="364"/>
      <c r="R94" s="70">
        <f>ROUND(SUM(+R13+R92),1)</f>
        <v>0</v>
      </c>
      <c r="S94" s="364"/>
      <c r="T94" s="70">
        <f>ROUND(SUM(+T13+T92),1)</f>
        <v>0</v>
      </c>
      <c r="U94" s="364"/>
      <c r="V94" s="70">
        <f>ROUND(SUM(+V13+V92),1)</f>
        <v>0</v>
      </c>
      <c r="W94" s="364"/>
      <c r="X94" s="70">
        <f>ROUND(SUM(+X13+X92),1)</f>
        <v>0</v>
      </c>
      <c r="Y94" s="364"/>
      <c r="Z94" s="70">
        <f>ROUND(SUM(+Z13+Z92),1)</f>
        <v>0</v>
      </c>
      <c r="AA94" s="364"/>
      <c r="AB94" s="1047"/>
      <c r="AC94" s="70">
        <f>ROUND(SUM(+AC13+AC92),1)</f>
        <v>13191.7</v>
      </c>
      <c r="AD94" s="364"/>
      <c r="AE94" s="1047"/>
      <c r="AF94" s="70">
        <f>ROUND(SUM(+AF13+AF92),1)</f>
        <v>8471.5</v>
      </c>
      <c r="AG94" s="364"/>
      <c r="AH94" s="1031"/>
      <c r="AI94" s="70">
        <f>ROUND(SUM(+AI13+AI92),1)</f>
        <v>4720.2</v>
      </c>
      <c r="AJ94" s="530"/>
      <c r="AK94" s="1052">
        <f>ROUND(+AI94/ABS(AF94),3)</f>
        <v>0.55700000000000005</v>
      </c>
      <c r="AL94" s="1526"/>
    </row>
    <row r="95" spans="1:38" ht="15" customHeight="1" thickTop="1">
      <c r="B95" s="364"/>
      <c r="C95" s="364"/>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283"/>
    </row>
    <row r="96" spans="1:38" ht="15" customHeight="1">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283"/>
    </row>
    <row r="97" spans="2:2" ht="15" customHeight="1">
      <c r="B97" s="364"/>
    </row>
  </sheetData>
  <customSheetViews>
    <customSheetView guid="{83D69B98-1714-4D17-901F-87B47BE66947}" scale="80" showPageBreaks="1" showGridLines="0" printArea="1" topLeftCell="B1">
      <selection activeCell="B1" sqref="B1"/>
      <rowBreaks count="1" manualBreakCount="1">
        <brk id="57" min="1" max="37" man="1"/>
      </rowBreaks>
      <pageMargins left="0.25" right="0.25" top="0.5" bottom="0.25" header="0" footer="0.25"/>
      <printOptions horizontalCentered="1"/>
      <pageSetup scale="41" firstPageNumber="26" fitToHeight="2" orientation="landscape" useFirstPageNumber="1" r:id="rId1"/>
      <headerFooter scaleWithDoc="0" alignWithMargins="0">
        <oddFooter>&amp;C&amp;8&amp;P</oddFooter>
      </headerFooter>
    </customSheetView>
    <customSheetView guid="{F9AE1502-86F7-4AAA-AE66-F6A75A634C1B}"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2"/>
      <headerFooter scaleWithDoc="0" alignWithMargins="0">
        <oddFooter>&amp;C&amp;8&amp;P</oddFooter>
      </headerFooter>
    </customSheetView>
    <customSheetView guid="{C41E3923-0A88-49D0-AE43-0E74D386A056}"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3"/>
      <headerFooter scaleWithDoc="0" alignWithMargins="0">
        <oddFooter>&amp;C&amp;8&amp;P</oddFooter>
      </headerFooter>
    </customSheetView>
    <customSheetView guid="{1DF171D7-3BFC-49F6-B708-0F91FCFAB6E2}" scale="80" showPageBreaks="1" showGridLines="0" printArea="1" topLeftCell="B55">
      <selection activeCell="P76" sqref="P76"/>
      <rowBreaks count="1" manualBreakCount="1">
        <brk id="57" min="1" max="37" man="1"/>
      </rowBreaks>
      <pageMargins left="0.25" right="0.25" top="0.5" bottom="0.25" header="0" footer="0.25"/>
      <printOptions horizontalCentered="1"/>
      <pageSetup scale="41" firstPageNumber="26" fitToHeight="2" orientation="landscape" useFirstPageNumber="1" r:id="rId4"/>
      <headerFooter scaleWithDoc="0" alignWithMargins="0">
        <oddFooter>&amp;C&amp;8&amp;P</oddFooter>
      </headerFooter>
    </customSheetView>
    <customSheetView guid="{9F00D83C-7F4F-41B5-9976-8610D9EBC976}"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5"/>
      <headerFooter scaleWithDoc="0" alignWithMargins="0">
        <oddFooter>&amp;C&amp;8&amp;P</oddFooter>
      </headerFooter>
    </customSheetView>
    <customSheetView guid="{D1467C25-646C-4F1A-9353-0E890E575522}" scale="80" showPageBreaks="1" showGridLines="0" printArea="1" topLeftCell="B1">
      <selection activeCell="D14" sqref="D14"/>
      <rowBreaks count="1" manualBreakCount="1">
        <brk id="57" min="1" max="37" man="1"/>
      </rowBreaks>
      <pageMargins left="0.25" right="0.25" top="0.5" bottom="0.25" header="0" footer="0.25"/>
      <printOptions horizontalCentered="1"/>
      <pageSetup scale="41" firstPageNumber="26" fitToHeight="2" orientation="landscape" useFirstPageNumber="1" r:id="rId6"/>
      <headerFooter scaleWithDoc="0" alignWithMargins="0">
        <oddFooter>&amp;C&amp;8&amp;P</oddFooter>
      </headerFooter>
    </customSheetView>
    <customSheetView guid="{3A50DD26-AAF5-43D4-97DE-BAE3367A2F29}"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7"/>
      <headerFooter scaleWithDoc="0" alignWithMargins="0">
        <oddFooter>&amp;C&amp;8&amp;P</oddFooter>
      </headerFooter>
    </customSheetView>
    <customSheetView guid="{C3636880-B45B-4897-94F2-F91976416934}" scale="80" showPageBreaks="1" showGridLines="0" printArea="1" topLeftCell="B1">
      <selection activeCell="H15" sqref="H15"/>
      <rowBreaks count="1" manualBreakCount="1">
        <brk id="57" min="1" max="37" man="1"/>
      </rowBreaks>
      <pageMargins left="0.25" right="0.25" top="0.5" bottom="0.25" header="0" footer="0.25"/>
      <printOptions horizontalCentered="1"/>
      <pageSetup scale="41" firstPageNumber="26" fitToHeight="2" orientation="landscape" useFirstPageNumber="1" r:id="rId8"/>
      <headerFooter scaleWithDoc="0" alignWithMargins="0">
        <oddFooter>&amp;C&amp;8&amp;P</oddFooter>
      </headerFooter>
    </customSheetView>
  </customSheetViews>
  <mergeCells count="1">
    <mergeCell ref="AB9:AK9"/>
  </mergeCells>
  <printOptions horizontalCentered="1"/>
  <pageMargins left="0.25" right="0.25" top="0.5" bottom="0.25" header="0" footer="0.25"/>
  <pageSetup scale="41" firstPageNumber="26" fitToHeight="2" orientation="landscape" useFirstPageNumber="1" r:id="rId9"/>
  <headerFooter scaleWithDoc="0" alignWithMargins="0">
    <oddFooter>&amp;C&amp;8&amp;P</oddFooter>
  </headerFooter>
  <rowBreaks count="1" manualBreakCount="1">
    <brk id="57" min="1" max="37" man="1"/>
  </rowBreaks>
  <customProperties>
    <customPr name="SheetOptions" r:id="rId10"/>
  </customProperties>
  <ignoredErrors>
    <ignoredError sqref="AK16:AK18 AK20 AK34 AK40 AK53 AK57 AK55" unlockedFormula="1"/>
    <ignoredError sqref="AK48:AK49 AK63:AK68 AK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J82"/>
  <sheetViews>
    <sheetView showGridLines="0" zoomScale="90" zoomScaleNormal="90" workbookViewId="0"/>
  </sheetViews>
  <sheetFormatPr defaultRowHeight="12.75"/>
  <cols>
    <col min="1" max="1" width="40.44140625" style="80" customWidth="1"/>
    <col min="2" max="2" width="10.44140625" style="80" customWidth="1"/>
    <col min="3" max="3" width="1.109375" style="80" customWidth="1"/>
    <col min="4" max="4" width="10" style="80" customWidth="1"/>
    <col min="5" max="5" width="1.109375" style="80" customWidth="1"/>
    <col min="6" max="6" width="9.88671875" style="721" bestFit="1" customWidth="1"/>
    <col min="7" max="7" width="1.109375" style="80" customWidth="1"/>
    <col min="8" max="8" width="10" style="80" customWidth="1"/>
    <col min="9" max="9" width="1.109375" style="80" customWidth="1"/>
    <col min="10" max="10" width="10" style="80" bestFit="1" customWidth="1"/>
    <col min="11" max="11" width="1.109375" style="80" customWidth="1"/>
    <col min="12" max="12" width="11.109375" style="80" customWidth="1"/>
    <col min="13" max="13" width="1.109375" style="80" customWidth="1"/>
    <col min="14" max="14" width="10.88671875" style="80" customWidth="1"/>
    <col min="15" max="15" width="1.88671875" style="80" customWidth="1"/>
    <col min="16" max="16" width="11" style="80" customWidth="1"/>
    <col min="17" max="17" width="1.109375" style="80" customWidth="1"/>
    <col min="18" max="18" width="10.88671875" style="80" customWidth="1"/>
    <col min="19" max="19" width="1.109375" style="80" customWidth="1"/>
    <col min="20" max="20" width="10" style="80" customWidth="1"/>
    <col min="21" max="21" width="1.109375" style="80" customWidth="1"/>
    <col min="22" max="22" width="12.88671875" style="80" customWidth="1"/>
    <col min="23" max="23" width="1.109375" style="80" customWidth="1"/>
    <col min="24" max="24" width="11.109375" style="80" bestFit="1" customWidth="1"/>
    <col min="25" max="26" width="0.88671875" style="80" customWidth="1"/>
    <col min="27" max="27" width="10.5546875" style="80" customWidth="1"/>
    <col min="28" max="29" width="0.88671875" style="80" customWidth="1"/>
    <col min="30" max="30" width="10.5546875" style="80" customWidth="1"/>
    <col min="31" max="32" width="0.88671875" style="80" customWidth="1"/>
    <col min="33" max="33" width="10.5546875" style="80" customWidth="1"/>
    <col min="34" max="34" width="1.109375" style="80" customWidth="1"/>
    <col min="35" max="35" width="10.5546875" style="80" customWidth="1"/>
    <col min="36" max="36" width="14.5546875" style="722" customWidth="1"/>
    <col min="37" max="65" width="8.88671875" style="80"/>
    <col min="66" max="66" width="38.44140625" style="80" customWidth="1"/>
    <col min="67" max="67" width="8.5546875" style="80" customWidth="1"/>
    <col min="68" max="68" width="1.109375" style="80" customWidth="1"/>
    <col min="69" max="69" width="8.88671875" style="80" customWidth="1"/>
    <col min="70" max="70" width="1.109375" style="80" customWidth="1"/>
    <col min="71" max="71" width="9.109375" style="80" customWidth="1"/>
    <col min="72" max="72" width="1.109375" style="80" customWidth="1"/>
    <col min="73" max="73" width="10" style="80" customWidth="1"/>
    <col min="74" max="74" width="1.109375" style="80" customWidth="1"/>
    <col min="75" max="75" width="9.109375" style="80" customWidth="1"/>
    <col min="76" max="76" width="1.109375" style="80" customWidth="1"/>
    <col min="77" max="77" width="11.109375" style="80" customWidth="1"/>
    <col min="78" max="78" width="1.109375" style="80" customWidth="1"/>
    <col min="79" max="79" width="9.109375" style="80" customWidth="1"/>
    <col min="80" max="80" width="1.88671875" style="80" customWidth="1"/>
    <col min="81" max="81" width="11" style="80" customWidth="1"/>
    <col min="82" max="82" width="1.109375" style="80" customWidth="1"/>
    <col min="83" max="83" width="10.88671875" style="80" customWidth="1"/>
    <col min="84" max="84" width="1.109375" style="80" customWidth="1"/>
    <col min="85" max="85" width="10" style="80" customWidth="1"/>
    <col min="86" max="86" width="1.109375" style="80" customWidth="1"/>
    <col min="87" max="87" width="9.109375" style="80" customWidth="1"/>
    <col min="88" max="88" width="1.109375" style="80" customWidth="1"/>
    <col min="89" max="89" width="7.88671875" style="80" customWidth="1"/>
    <col min="90" max="90" width="1.109375" style="80" customWidth="1"/>
    <col min="91" max="91" width="0.88671875" style="80" customWidth="1"/>
    <col min="92" max="92" width="9.109375" style="80" customWidth="1"/>
    <col min="93" max="93" width="1.109375" style="80" customWidth="1"/>
    <col min="94" max="94" width="0.88671875" style="80" customWidth="1"/>
    <col min="95" max="95" width="9.5546875" style="80" bestFit="1" customWidth="1"/>
    <col min="96" max="97" width="0.88671875" style="80" customWidth="1"/>
    <col min="98" max="98" width="9.88671875" style="80" customWidth="1"/>
    <col min="99" max="99" width="1.109375" style="80" customWidth="1"/>
    <col min="100" max="100" width="8.5546875" style="80" customWidth="1"/>
    <col min="101" max="101" width="14.5546875" style="80" customWidth="1"/>
    <col min="102" max="102" width="10" style="80" customWidth="1"/>
    <col min="103" max="103" width="7.88671875" style="80" bestFit="1" customWidth="1"/>
    <col min="104" max="104" width="9.88671875" style="80" customWidth="1"/>
    <col min="105" max="321" width="8.88671875" style="80"/>
    <col min="322" max="322" width="38.44140625" style="80" customWidth="1"/>
    <col min="323" max="323" width="8.5546875" style="80" customWidth="1"/>
    <col min="324" max="324" width="1.109375" style="80" customWidth="1"/>
    <col min="325" max="325" width="8.88671875" style="80" customWidth="1"/>
    <col min="326" max="326" width="1.109375" style="80" customWidth="1"/>
    <col min="327" max="327" width="9.109375" style="80" customWidth="1"/>
    <col min="328" max="328" width="1.109375" style="80" customWidth="1"/>
    <col min="329" max="329" width="10" style="80" customWidth="1"/>
    <col min="330" max="330" width="1.109375" style="80" customWidth="1"/>
    <col min="331" max="331" width="9.109375" style="80" customWidth="1"/>
    <col min="332" max="332" width="1.109375" style="80" customWidth="1"/>
    <col min="333" max="333" width="11.109375" style="80" customWidth="1"/>
    <col min="334" max="334" width="1.109375" style="80" customWidth="1"/>
    <col min="335" max="335" width="9.109375" style="80" customWidth="1"/>
    <col min="336" max="336" width="1.88671875" style="80" customWidth="1"/>
    <col min="337" max="337" width="11" style="80" customWidth="1"/>
    <col min="338" max="338" width="1.109375" style="80" customWidth="1"/>
    <col min="339" max="339" width="10.88671875" style="80" customWidth="1"/>
    <col min="340" max="340" width="1.109375" style="80" customWidth="1"/>
    <col min="341" max="341" width="10" style="80" customWidth="1"/>
    <col min="342" max="342" width="1.109375" style="80" customWidth="1"/>
    <col min="343" max="343" width="9.109375" style="80" customWidth="1"/>
    <col min="344" max="344" width="1.109375" style="80" customWidth="1"/>
    <col min="345" max="345" width="7.88671875" style="80" customWidth="1"/>
    <col min="346" max="346" width="1.109375" style="80" customWidth="1"/>
    <col min="347" max="347" width="0.88671875" style="80" customWidth="1"/>
    <col min="348" max="348" width="9.109375" style="80" customWidth="1"/>
    <col min="349" max="349" width="1.109375" style="80" customWidth="1"/>
    <col min="350" max="350" width="0.88671875" style="80" customWidth="1"/>
    <col min="351" max="351" width="9.5546875" style="80" bestFit="1" customWidth="1"/>
    <col min="352" max="353" width="0.88671875" style="80" customWidth="1"/>
    <col min="354" max="354" width="9.88671875" style="80" customWidth="1"/>
    <col min="355" max="355" width="1.109375" style="80" customWidth="1"/>
    <col min="356" max="356" width="8.5546875" style="80" customWidth="1"/>
    <col min="357" max="357" width="14.5546875" style="80" customWidth="1"/>
    <col min="358" max="358" width="10" style="80" customWidth="1"/>
    <col min="359" max="359" width="7.88671875" style="80" bestFit="1" customWidth="1"/>
    <col min="360" max="360" width="9.88671875" style="80" customWidth="1"/>
    <col min="361" max="577" width="8.88671875" style="80"/>
    <col min="578" max="578" width="38.44140625" style="80" customWidth="1"/>
    <col min="579" max="579" width="8.5546875" style="80" customWidth="1"/>
    <col min="580" max="580" width="1.109375" style="80" customWidth="1"/>
    <col min="581" max="581" width="8.88671875" style="80" customWidth="1"/>
    <col min="582" max="582" width="1.109375" style="80" customWidth="1"/>
    <col min="583" max="583" width="9.109375" style="80" customWidth="1"/>
    <col min="584" max="584" width="1.109375" style="80" customWidth="1"/>
    <col min="585" max="585" width="10" style="80" customWidth="1"/>
    <col min="586" max="586" width="1.109375" style="80" customWidth="1"/>
    <col min="587" max="587" width="9.109375" style="80" customWidth="1"/>
    <col min="588" max="588" width="1.109375" style="80" customWidth="1"/>
    <col min="589" max="589" width="11.109375" style="80" customWidth="1"/>
    <col min="590" max="590" width="1.109375" style="80" customWidth="1"/>
    <col min="591" max="591" width="9.109375" style="80" customWidth="1"/>
    <col min="592" max="592" width="1.88671875" style="80" customWidth="1"/>
    <col min="593" max="593" width="11" style="80" customWidth="1"/>
    <col min="594" max="594" width="1.109375" style="80" customWidth="1"/>
    <col min="595" max="595" width="10.88671875" style="80" customWidth="1"/>
    <col min="596" max="596" width="1.109375" style="80" customWidth="1"/>
    <col min="597" max="597" width="10" style="80" customWidth="1"/>
    <col min="598" max="598" width="1.109375" style="80" customWidth="1"/>
    <col min="599" max="599" width="9.109375" style="80" customWidth="1"/>
    <col min="600" max="600" width="1.109375" style="80" customWidth="1"/>
    <col min="601" max="601" width="7.88671875" style="80" customWidth="1"/>
    <col min="602" max="602" width="1.109375" style="80" customWidth="1"/>
    <col min="603" max="603" width="0.88671875" style="80" customWidth="1"/>
    <col min="604" max="604" width="9.109375" style="80" customWidth="1"/>
    <col min="605" max="605" width="1.109375" style="80" customWidth="1"/>
    <col min="606" max="606" width="0.88671875" style="80" customWidth="1"/>
    <col min="607" max="607" width="9.5546875" style="80" bestFit="1" customWidth="1"/>
    <col min="608" max="609" width="0.88671875" style="80" customWidth="1"/>
    <col min="610" max="610" width="9.88671875" style="80" customWidth="1"/>
    <col min="611" max="611" width="1.109375" style="80" customWidth="1"/>
    <col min="612" max="612" width="8.5546875" style="80" customWidth="1"/>
    <col min="613" max="613" width="14.5546875" style="80" customWidth="1"/>
    <col min="614" max="614" width="10" style="80" customWidth="1"/>
    <col min="615" max="615" width="7.88671875" style="80" bestFit="1" customWidth="1"/>
    <col min="616" max="616" width="9.88671875" style="80" customWidth="1"/>
    <col min="617" max="833" width="8.88671875" style="80"/>
    <col min="834" max="834" width="38.44140625" style="80" customWidth="1"/>
    <col min="835" max="835" width="8.5546875" style="80" customWidth="1"/>
    <col min="836" max="836" width="1.109375" style="80" customWidth="1"/>
    <col min="837" max="837" width="8.88671875" style="80" customWidth="1"/>
    <col min="838" max="838" width="1.109375" style="80" customWidth="1"/>
    <col min="839" max="839" width="9.109375" style="80" customWidth="1"/>
    <col min="840" max="840" width="1.109375" style="80" customWidth="1"/>
    <col min="841" max="841" width="10" style="80" customWidth="1"/>
    <col min="842" max="842" width="1.109375" style="80" customWidth="1"/>
    <col min="843" max="843" width="9.109375" style="80" customWidth="1"/>
    <col min="844" max="844" width="1.109375" style="80" customWidth="1"/>
    <col min="845" max="845" width="11.109375" style="80" customWidth="1"/>
    <col min="846" max="846" width="1.109375" style="80" customWidth="1"/>
    <col min="847" max="847" width="9.109375" style="80" customWidth="1"/>
    <col min="848" max="848" width="1.88671875" style="80" customWidth="1"/>
    <col min="849" max="849" width="11" style="80" customWidth="1"/>
    <col min="850" max="850" width="1.109375" style="80" customWidth="1"/>
    <col min="851" max="851" width="10.88671875" style="80" customWidth="1"/>
    <col min="852" max="852" width="1.109375" style="80" customWidth="1"/>
    <col min="853" max="853" width="10" style="80" customWidth="1"/>
    <col min="854" max="854" width="1.109375" style="80" customWidth="1"/>
    <col min="855" max="855" width="9.109375" style="80" customWidth="1"/>
    <col min="856" max="856" width="1.109375" style="80" customWidth="1"/>
    <col min="857" max="857" width="7.88671875" style="80" customWidth="1"/>
    <col min="858" max="858" width="1.109375" style="80" customWidth="1"/>
    <col min="859" max="859" width="0.88671875" style="80" customWidth="1"/>
    <col min="860" max="860" width="9.109375" style="80" customWidth="1"/>
    <col min="861" max="861" width="1.109375" style="80" customWidth="1"/>
    <col min="862" max="862" width="0.88671875" style="80" customWidth="1"/>
    <col min="863" max="863" width="9.5546875" style="80" bestFit="1" customWidth="1"/>
    <col min="864" max="865" width="0.88671875" style="80" customWidth="1"/>
    <col min="866" max="866" width="9.88671875" style="80" customWidth="1"/>
    <col min="867" max="867" width="1.109375" style="80" customWidth="1"/>
    <col min="868" max="868" width="8.5546875" style="80" customWidth="1"/>
    <col min="869" max="869" width="14.5546875" style="80" customWidth="1"/>
    <col min="870" max="870" width="10" style="80" customWidth="1"/>
    <col min="871" max="871" width="7.88671875" style="80" bestFit="1" customWidth="1"/>
    <col min="872" max="872" width="9.88671875" style="80" customWidth="1"/>
    <col min="873" max="1089" width="8.88671875" style="80"/>
    <col min="1090" max="1090" width="38.44140625" style="80" customWidth="1"/>
    <col min="1091" max="1091" width="8.5546875" style="80" customWidth="1"/>
    <col min="1092" max="1092" width="1.109375" style="80" customWidth="1"/>
    <col min="1093" max="1093" width="8.88671875" style="80" customWidth="1"/>
    <col min="1094" max="1094" width="1.109375" style="80" customWidth="1"/>
    <col min="1095" max="1095" width="9.109375" style="80" customWidth="1"/>
    <col min="1096" max="1096" width="1.109375" style="80" customWidth="1"/>
    <col min="1097" max="1097" width="10" style="80" customWidth="1"/>
    <col min="1098" max="1098" width="1.109375" style="80" customWidth="1"/>
    <col min="1099" max="1099" width="9.109375" style="80" customWidth="1"/>
    <col min="1100" max="1100" width="1.109375" style="80" customWidth="1"/>
    <col min="1101" max="1101" width="11.109375" style="80" customWidth="1"/>
    <col min="1102" max="1102" width="1.109375" style="80" customWidth="1"/>
    <col min="1103" max="1103" width="9.109375" style="80" customWidth="1"/>
    <col min="1104" max="1104" width="1.88671875" style="80" customWidth="1"/>
    <col min="1105" max="1105" width="11" style="80" customWidth="1"/>
    <col min="1106" max="1106" width="1.109375" style="80" customWidth="1"/>
    <col min="1107" max="1107" width="10.88671875" style="80" customWidth="1"/>
    <col min="1108" max="1108" width="1.109375" style="80" customWidth="1"/>
    <col min="1109" max="1109" width="10" style="80" customWidth="1"/>
    <col min="1110" max="1110" width="1.109375" style="80" customWidth="1"/>
    <col min="1111" max="1111" width="9.109375" style="80" customWidth="1"/>
    <col min="1112" max="1112" width="1.109375" style="80" customWidth="1"/>
    <col min="1113" max="1113" width="7.88671875" style="80" customWidth="1"/>
    <col min="1114" max="1114" width="1.109375" style="80" customWidth="1"/>
    <col min="1115" max="1115" width="0.88671875" style="80" customWidth="1"/>
    <col min="1116" max="1116" width="9.109375" style="80" customWidth="1"/>
    <col min="1117" max="1117" width="1.109375" style="80" customWidth="1"/>
    <col min="1118" max="1118" width="0.88671875" style="80" customWidth="1"/>
    <col min="1119" max="1119" width="9.5546875" style="80" bestFit="1" customWidth="1"/>
    <col min="1120" max="1121" width="0.88671875" style="80" customWidth="1"/>
    <col min="1122" max="1122" width="9.88671875" style="80" customWidth="1"/>
    <col min="1123" max="1123" width="1.109375" style="80" customWidth="1"/>
    <col min="1124" max="1124" width="8.5546875" style="80" customWidth="1"/>
    <col min="1125" max="1125" width="14.5546875" style="80" customWidth="1"/>
    <col min="1126" max="1126" width="10" style="80" customWidth="1"/>
    <col min="1127" max="1127" width="7.88671875" style="80" bestFit="1" customWidth="1"/>
    <col min="1128" max="1128" width="9.88671875" style="80" customWidth="1"/>
    <col min="1129" max="1345" width="8.88671875" style="80"/>
    <col min="1346" max="1346" width="38.44140625" style="80" customWidth="1"/>
    <col min="1347" max="1347" width="8.5546875" style="80" customWidth="1"/>
    <col min="1348" max="1348" width="1.109375" style="80" customWidth="1"/>
    <col min="1349" max="1349" width="8.88671875" style="80" customWidth="1"/>
    <col min="1350" max="1350" width="1.109375" style="80" customWidth="1"/>
    <col min="1351" max="1351" width="9.109375" style="80" customWidth="1"/>
    <col min="1352" max="1352" width="1.109375" style="80" customWidth="1"/>
    <col min="1353" max="1353" width="10" style="80" customWidth="1"/>
    <col min="1354" max="1354" width="1.109375" style="80" customWidth="1"/>
    <col min="1355" max="1355" width="9.109375" style="80" customWidth="1"/>
    <col min="1356" max="1356" width="1.109375" style="80" customWidth="1"/>
    <col min="1357" max="1357" width="11.109375" style="80" customWidth="1"/>
    <col min="1358" max="1358" width="1.109375" style="80" customWidth="1"/>
    <col min="1359" max="1359" width="9.109375" style="80" customWidth="1"/>
    <col min="1360" max="1360" width="1.88671875" style="80" customWidth="1"/>
    <col min="1361" max="1361" width="11" style="80" customWidth="1"/>
    <col min="1362" max="1362" width="1.109375" style="80" customWidth="1"/>
    <col min="1363" max="1363" width="10.88671875" style="80" customWidth="1"/>
    <col min="1364" max="1364" width="1.109375" style="80" customWidth="1"/>
    <col min="1365" max="1365" width="10" style="80" customWidth="1"/>
    <col min="1366" max="1366" width="1.109375" style="80" customWidth="1"/>
    <col min="1367" max="1367" width="9.109375" style="80" customWidth="1"/>
    <col min="1368" max="1368" width="1.109375" style="80" customWidth="1"/>
    <col min="1369" max="1369" width="7.88671875" style="80" customWidth="1"/>
    <col min="1370" max="1370" width="1.109375" style="80" customWidth="1"/>
    <col min="1371" max="1371" width="0.88671875" style="80" customWidth="1"/>
    <col min="1372" max="1372" width="9.109375" style="80" customWidth="1"/>
    <col min="1373" max="1373" width="1.109375" style="80" customWidth="1"/>
    <col min="1374" max="1374" width="0.88671875" style="80" customWidth="1"/>
    <col min="1375" max="1375" width="9.5546875" style="80" bestFit="1" customWidth="1"/>
    <col min="1376" max="1377" width="0.88671875" style="80" customWidth="1"/>
    <col min="1378" max="1378" width="9.88671875" style="80" customWidth="1"/>
    <col min="1379" max="1379" width="1.109375" style="80" customWidth="1"/>
    <col min="1380" max="1380" width="8.5546875" style="80" customWidth="1"/>
    <col min="1381" max="1381" width="14.5546875" style="80" customWidth="1"/>
    <col min="1382" max="1382" width="10" style="80" customWidth="1"/>
    <col min="1383" max="1383" width="7.88671875" style="80" bestFit="1" customWidth="1"/>
    <col min="1384" max="1384" width="9.88671875" style="80" customWidth="1"/>
    <col min="1385" max="1601" width="8.88671875" style="80"/>
    <col min="1602" max="1602" width="38.44140625" style="80" customWidth="1"/>
    <col min="1603" max="1603" width="8.5546875" style="80" customWidth="1"/>
    <col min="1604" max="1604" width="1.109375" style="80" customWidth="1"/>
    <col min="1605" max="1605" width="8.88671875" style="80" customWidth="1"/>
    <col min="1606" max="1606" width="1.109375" style="80" customWidth="1"/>
    <col min="1607" max="1607" width="9.109375" style="80" customWidth="1"/>
    <col min="1608" max="1608" width="1.109375" style="80" customWidth="1"/>
    <col min="1609" max="1609" width="10" style="80" customWidth="1"/>
    <col min="1610" max="1610" width="1.109375" style="80" customWidth="1"/>
    <col min="1611" max="1611" width="9.109375" style="80" customWidth="1"/>
    <col min="1612" max="1612" width="1.109375" style="80" customWidth="1"/>
    <col min="1613" max="1613" width="11.109375" style="80" customWidth="1"/>
    <col min="1614" max="1614" width="1.109375" style="80" customWidth="1"/>
    <col min="1615" max="1615" width="9.109375" style="80" customWidth="1"/>
    <col min="1616" max="1616" width="1.88671875" style="80" customWidth="1"/>
    <col min="1617" max="1617" width="11" style="80" customWidth="1"/>
    <col min="1618" max="1618" width="1.109375" style="80" customWidth="1"/>
    <col min="1619" max="1619" width="10.88671875" style="80" customWidth="1"/>
    <col min="1620" max="1620" width="1.109375" style="80" customWidth="1"/>
    <col min="1621" max="1621" width="10" style="80" customWidth="1"/>
    <col min="1622" max="1622" width="1.109375" style="80" customWidth="1"/>
    <col min="1623" max="1623" width="9.109375" style="80" customWidth="1"/>
    <col min="1624" max="1624" width="1.109375" style="80" customWidth="1"/>
    <col min="1625" max="1625" width="7.88671875" style="80" customWidth="1"/>
    <col min="1626" max="1626" width="1.109375" style="80" customWidth="1"/>
    <col min="1627" max="1627" width="0.88671875" style="80" customWidth="1"/>
    <col min="1628" max="1628" width="9.109375" style="80" customWidth="1"/>
    <col min="1629" max="1629" width="1.109375" style="80" customWidth="1"/>
    <col min="1630" max="1630" width="0.88671875" style="80" customWidth="1"/>
    <col min="1631" max="1631" width="9.5546875" style="80" bestFit="1" customWidth="1"/>
    <col min="1632" max="1633" width="0.88671875" style="80" customWidth="1"/>
    <col min="1634" max="1634" width="9.88671875" style="80" customWidth="1"/>
    <col min="1635" max="1635" width="1.109375" style="80" customWidth="1"/>
    <col min="1636" max="1636" width="8.5546875" style="80" customWidth="1"/>
    <col min="1637" max="1637" width="14.5546875" style="80" customWidth="1"/>
    <col min="1638" max="1638" width="10" style="80" customWidth="1"/>
    <col min="1639" max="1639" width="7.88671875" style="80" bestFit="1" customWidth="1"/>
    <col min="1640" max="1640" width="9.88671875" style="80" customWidth="1"/>
    <col min="1641" max="1857" width="8.88671875" style="80"/>
    <col min="1858" max="1858" width="38.44140625" style="80" customWidth="1"/>
    <col min="1859" max="1859" width="8.5546875" style="80" customWidth="1"/>
    <col min="1860" max="1860" width="1.109375" style="80" customWidth="1"/>
    <col min="1861" max="1861" width="8.88671875" style="80" customWidth="1"/>
    <col min="1862" max="1862" width="1.109375" style="80" customWidth="1"/>
    <col min="1863" max="1863" width="9.109375" style="80" customWidth="1"/>
    <col min="1864" max="1864" width="1.109375" style="80" customWidth="1"/>
    <col min="1865" max="1865" width="10" style="80" customWidth="1"/>
    <col min="1866" max="1866" width="1.109375" style="80" customWidth="1"/>
    <col min="1867" max="1867" width="9.109375" style="80" customWidth="1"/>
    <col min="1868" max="1868" width="1.109375" style="80" customWidth="1"/>
    <col min="1869" max="1869" width="11.109375" style="80" customWidth="1"/>
    <col min="1870" max="1870" width="1.109375" style="80" customWidth="1"/>
    <col min="1871" max="1871" width="9.109375" style="80" customWidth="1"/>
    <col min="1872" max="1872" width="1.88671875" style="80" customWidth="1"/>
    <col min="1873" max="1873" width="11" style="80" customWidth="1"/>
    <col min="1874" max="1874" width="1.109375" style="80" customWidth="1"/>
    <col min="1875" max="1875" width="10.88671875" style="80" customWidth="1"/>
    <col min="1876" max="1876" width="1.109375" style="80" customWidth="1"/>
    <col min="1877" max="1877" width="10" style="80" customWidth="1"/>
    <col min="1878" max="1878" width="1.109375" style="80" customWidth="1"/>
    <col min="1879" max="1879" width="9.109375" style="80" customWidth="1"/>
    <col min="1880" max="1880" width="1.109375" style="80" customWidth="1"/>
    <col min="1881" max="1881" width="7.88671875" style="80" customWidth="1"/>
    <col min="1882" max="1882" width="1.109375" style="80" customWidth="1"/>
    <col min="1883" max="1883" width="0.88671875" style="80" customWidth="1"/>
    <col min="1884" max="1884" width="9.109375" style="80" customWidth="1"/>
    <col min="1885" max="1885" width="1.109375" style="80" customWidth="1"/>
    <col min="1886" max="1886" width="0.88671875" style="80" customWidth="1"/>
    <col min="1887" max="1887" width="9.5546875" style="80" bestFit="1" customWidth="1"/>
    <col min="1888" max="1889" width="0.88671875" style="80" customWidth="1"/>
    <col min="1890" max="1890" width="9.88671875" style="80" customWidth="1"/>
    <col min="1891" max="1891" width="1.109375" style="80" customWidth="1"/>
    <col min="1892" max="1892" width="8.5546875" style="80" customWidth="1"/>
    <col min="1893" max="1893" width="14.5546875" style="80" customWidth="1"/>
    <col min="1894" max="1894" width="10" style="80" customWidth="1"/>
    <col min="1895" max="1895" width="7.88671875" style="80" bestFit="1" customWidth="1"/>
    <col min="1896" max="1896" width="9.88671875" style="80" customWidth="1"/>
    <col min="1897" max="2113" width="8.88671875" style="80"/>
    <col min="2114" max="2114" width="38.44140625" style="80" customWidth="1"/>
    <col min="2115" max="2115" width="8.5546875" style="80" customWidth="1"/>
    <col min="2116" max="2116" width="1.109375" style="80" customWidth="1"/>
    <col min="2117" max="2117" width="8.88671875" style="80" customWidth="1"/>
    <col min="2118" max="2118" width="1.109375" style="80" customWidth="1"/>
    <col min="2119" max="2119" width="9.109375" style="80" customWidth="1"/>
    <col min="2120" max="2120" width="1.109375" style="80" customWidth="1"/>
    <col min="2121" max="2121" width="10" style="80" customWidth="1"/>
    <col min="2122" max="2122" width="1.109375" style="80" customWidth="1"/>
    <col min="2123" max="2123" width="9.109375" style="80" customWidth="1"/>
    <col min="2124" max="2124" width="1.109375" style="80" customWidth="1"/>
    <col min="2125" max="2125" width="11.109375" style="80" customWidth="1"/>
    <col min="2126" max="2126" width="1.109375" style="80" customWidth="1"/>
    <col min="2127" max="2127" width="9.109375" style="80" customWidth="1"/>
    <col min="2128" max="2128" width="1.88671875" style="80" customWidth="1"/>
    <col min="2129" max="2129" width="11" style="80" customWidth="1"/>
    <col min="2130" max="2130" width="1.109375" style="80" customWidth="1"/>
    <col min="2131" max="2131" width="10.88671875" style="80" customWidth="1"/>
    <col min="2132" max="2132" width="1.109375" style="80" customWidth="1"/>
    <col min="2133" max="2133" width="10" style="80" customWidth="1"/>
    <col min="2134" max="2134" width="1.109375" style="80" customWidth="1"/>
    <col min="2135" max="2135" width="9.109375" style="80" customWidth="1"/>
    <col min="2136" max="2136" width="1.109375" style="80" customWidth="1"/>
    <col min="2137" max="2137" width="7.88671875" style="80" customWidth="1"/>
    <col min="2138" max="2138" width="1.109375" style="80" customWidth="1"/>
    <col min="2139" max="2139" width="0.88671875" style="80" customWidth="1"/>
    <col min="2140" max="2140" width="9.109375" style="80" customWidth="1"/>
    <col min="2141" max="2141" width="1.109375" style="80" customWidth="1"/>
    <col min="2142" max="2142" width="0.88671875" style="80" customWidth="1"/>
    <col min="2143" max="2143" width="9.5546875" style="80" bestFit="1" customWidth="1"/>
    <col min="2144" max="2145" width="0.88671875" style="80" customWidth="1"/>
    <col min="2146" max="2146" width="9.88671875" style="80" customWidth="1"/>
    <col min="2147" max="2147" width="1.109375" style="80" customWidth="1"/>
    <col min="2148" max="2148" width="8.5546875" style="80" customWidth="1"/>
    <col min="2149" max="2149" width="14.5546875" style="80" customWidth="1"/>
    <col min="2150" max="2150" width="10" style="80" customWidth="1"/>
    <col min="2151" max="2151" width="7.88671875" style="80" bestFit="1" customWidth="1"/>
    <col min="2152" max="2152" width="9.88671875" style="80" customWidth="1"/>
    <col min="2153" max="2369" width="8.88671875" style="80"/>
    <col min="2370" max="2370" width="38.44140625" style="80" customWidth="1"/>
    <col min="2371" max="2371" width="8.5546875" style="80" customWidth="1"/>
    <col min="2372" max="2372" width="1.109375" style="80" customWidth="1"/>
    <col min="2373" max="2373" width="8.88671875" style="80" customWidth="1"/>
    <col min="2374" max="2374" width="1.109375" style="80" customWidth="1"/>
    <col min="2375" max="2375" width="9.109375" style="80" customWidth="1"/>
    <col min="2376" max="2376" width="1.109375" style="80" customWidth="1"/>
    <col min="2377" max="2377" width="10" style="80" customWidth="1"/>
    <col min="2378" max="2378" width="1.109375" style="80" customWidth="1"/>
    <col min="2379" max="2379" width="9.109375" style="80" customWidth="1"/>
    <col min="2380" max="2380" width="1.109375" style="80" customWidth="1"/>
    <col min="2381" max="2381" width="11.109375" style="80" customWidth="1"/>
    <col min="2382" max="2382" width="1.109375" style="80" customWidth="1"/>
    <col min="2383" max="2383" width="9.109375" style="80" customWidth="1"/>
    <col min="2384" max="2384" width="1.88671875" style="80" customWidth="1"/>
    <col min="2385" max="2385" width="11" style="80" customWidth="1"/>
    <col min="2386" max="2386" width="1.109375" style="80" customWidth="1"/>
    <col min="2387" max="2387" width="10.88671875" style="80" customWidth="1"/>
    <col min="2388" max="2388" width="1.109375" style="80" customWidth="1"/>
    <col min="2389" max="2389" width="10" style="80" customWidth="1"/>
    <col min="2390" max="2390" width="1.109375" style="80" customWidth="1"/>
    <col min="2391" max="2391" width="9.109375" style="80" customWidth="1"/>
    <col min="2392" max="2392" width="1.109375" style="80" customWidth="1"/>
    <col min="2393" max="2393" width="7.88671875" style="80" customWidth="1"/>
    <col min="2394" max="2394" width="1.109375" style="80" customWidth="1"/>
    <col min="2395" max="2395" width="0.88671875" style="80" customWidth="1"/>
    <col min="2396" max="2396" width="9.109375" style="80" customWidth="1"/>
    <col min="2397" max="2397" width="1.109375" style="80" customWidth="1"/>
    <col min="2398" max="2398" width="0.88671875" style="80" customWidth="1"/>
    <col min="2399" max="2399" width="9.5546875" style="80" bestFit="1" customWidth="1"/>
    <col min="2400" max="2401" width="0.88671875" style="80" customWidth="1"/>
    <col min="2402" max="2402" width="9.88671875" style="80" customWidth="1"/>
    <col min="2403" max="2403" width="1.109375" style="80" customWidth="1"/>
    <col min="2404" max="2404" width="8.5546875" style="80" customWidth="1"/>
    <col min="2405" max="2405" width="14.5546875" style="80" customWidth="1"/>
    <col min="2406" max="2406" width="10" style="80" customWidth="1"/>
    <col min="2407" max="2407" width="7.88671875" style="80" bestFit="1" customWidth="1"/>
    <col min="2408" max="2408" width="9.88671875" style="80" customWidth="1"/>
    <col min="2409" max="2625" width="8.88671875" style="80"/>
    <col min="2626" max="2626" width="38.44140625" style="80" customWidth="1"/>
    <col min="2627" max="2627" width="8.5546875" style="80" customWidth="1"/>
    <col min="2628" max="2628" width="1.109375" style="80" customWidth="1"/>
    <col min="2629" max="2629" width="8.88671875" style="80" customWidth="1"/>
    <col min="2630" max="2630" width="1.109375" style="80" customWidth="1"/>
    <col min="2631" max="2631" width="9.109375" style="80" customWidth="1"/>
    <col min="2632" max="2632" width="1.109375" style="80" customWidth="1"/>
    <col min="2633" max="2633" width="10" style="80" customWidth="1"/>
    <col min="2634" max="2634" width="1.109375" style="80" customWidth="1"/>
    <col min="2635" max="2635" width="9.109375" style="80" customWidth="1"/>
    <col min="2636" max="2636" width="1.109375" style="80" customWidth="1"/>
    <col min="2637" max="2637" width="11.109375" style="80" customWidth="1"/>
    <col min="2638" max="2638" width="1.109375" style="80" customWidth="1"/>
    <col min="2639" max="2639" width="9.109375" style="80" customWidth="1"/>
    <col min="2640" max="2640" width="1.88671875" style="80" customWidth="1"/>
    <col min="2641" max="2641" width="11" style="80" customWidth="1"/>
    <col min="2642" max="2642" width="1.109375" style="80" customWidth="1"/>
    <col min="2643" max="2643" width="10.88671875" style="80" customWidth="1"/>
    <col min="2644" max="2644" width="1.109375" style="80" customWidth="1"/>
    <col min="2645" max="2645" width="10" style="80" customWidth="1"/>
    <col min="2646" max="2646" width="1.109375" style="80" customWidth="1"/>
    <col min="2647" max="2647" width="9.109375" style="80" customWidth="1"/>
    <col min="2648" max="2648" width="1.109375" style="80" customWidth="1"/>
    <col min="2649" max="2649" width="7.88671875" style="80" customWidth="1"/>
    <col min="2650" max="2650" width="1.109375" style="80" customWidth="1"/>
    <col min="2651" max="2651" width="0.88671875" style="80" customWidth="1"/>
    <col min="2652" max="2652" width="9.109375" style="80" customWidth="1"/>
    <col min="2653" max="2653" width="1.109375" style="80" customWidth="1"/>
    <col min="2654" max="2654" width="0.88671875" style="80" customWidth="1"/>
    <col min="2655" max="2655" width="9.5546875" style="80" bestFit="1" customWidth="1"/>
    <col min="2656" max="2657" width="0.88671875" style="80" customWidth="1"/>
    <col min="2658" max="2658" width="9.88671875" style="80" customWidth="1"/>
    <col min="2659" max="2659" width="1.109375" style="80" customWidth="1"/>
    <col min="2660" max="2660" width="8.5546875" style="80" customWidth="1"/>
    <col min="2661" max="2661" width="14.5546875" style="80" customWidth="1"/>
    <col min="2662" max="2662" width="10" style="80" customWidth="1"/>
    <col min="2663" max="2663" width="7.88671875" style="80" bestFit="1" customWidth="1"/>
    <col min="2664" max="2664" width="9.88671875" style="80" customWidth="1"/>
    <col min="2665" max="2881" width="8.88671875" style="80"/>
    <col min="2882" max="2882" width="38.44140625" style="80" customWidth="1"/>
    <col min="2883" max="2883" width="8.5546875" style="80" customWidth="1"/>
    <col min="2884" max="2884" width="1.109375" style="80" customWidth="1"/>
    <col min="2885" max="2885" width="8.88671875" style="80" customWidth="1"/>
    <col min="2886" max="2886" width="1.109375" style="80" customWidth="1"/>
    <col min="2887" max="2887" width="9.109375" style="80" customWidth="1"/>
    <col min="2888" max="2888" width="1.109375" style="80" customWidth="1"/>
    <col min="2889" max="2889" width="10" style="80" customWidth="1"/>
    <col min="2890" max="2890" width="1.109375" style="80" customWidth="1"/>
    <col min="2891" max="2891" width="9.109375" style="80" customWidth="1"/>
    <col min="2892" max="2892" width="1.109375" style="80" customWidth="1"/>
    <col min="2893" max="2893" width="11.109375" style="80" customWidth="1"/>
    <col min="2894" max="2894" width="1.109375" style="80" customWidth="1"/>
    <col min="2895" max="2895" width="9.109375" style="80" customWidth="1"/>
    <col min="2896" max="2896" width="1.88671875" style="80" customWidth="1"/>
    <col min="2897" max="2897" width="11" style="80" customWidth="1"/>
    <col min="2898" max="2898" width="1.109375" style="80" customWidth="1"/>
    <col min="2899" max="2899" width="10.88671875" style="80" customWidth="1"/>
    <col min="2900" max="2900" width="1.109375" style="80" customWidth="1"/>
    <col min="2901" max="2901" width="10" style="80" customWidth="1"/>
    <col min="2902" max="2902" width="1.109375" style="80" customWidth="1"/>
    <col min="2903" max="2903" width="9.109375" style="80" customWidth="1"/>
    <col min="2904" max="2904" width="1.109375" style="80" customWidth="1"/>
    <col min="2905" max="2905" width="7.88671875" style="80" customWidth="1"/>
    <col min="2906" max="2906" width="1.109375" style="80" customWidth="1"/>
    <col min="2907" max="2907" width="0.88671875" style="80" customWidth="1"/>
    <col min="2908" max="2908" width="9.109375" style="80" customWidth="1"/>
    <col min="2909" max="2909" width="1.109375" style="80" customWidth="1"/>
    <col min="2910" max="2910" width="0.88671875" style="80" customWidth="1"/>
    <col min="2911" max="2911" width="9.5546875" style="80" bestFit="1" customWidth="1"/>
    <col min="2912" max="2913" width="0.88671875" style="80" customWidth="1"/>
    <col min="2914" max="2914" width="9.88671875" style="80" customWidth="1"/>
    <col min="2915" max="2915" width="1.109375" style="80" customWidth="1"/>
    <col min="2916" max="2916" width="8.5546875" style="80" customWidth="1"/>
    <col min="2917" max="2917" width="14.5546875" style="80" customWidth="1"/>
    <col min="2918" max="2918" width="10" style="80" customWidth="1"/>
    <col min="2919" max="2919" width="7.88671875" style="80" bestFit="1" customWidth="1"/>
    <col min="2920" max="2920" width="9.88671875" style="80" customWidth="1"/>
    <col min="2921" max="3137" width="8.88671875" style="80"/>
    <col min="3138" max="3138" width="38.44140625" style="80" customWidth="1"/>
    <col min="3139" max="3139" width="8.5546875" style="80" customWidth="1"/>
    <col min="3140" max="3140" width="1.109375" style="80" customWidth="1"/>
    <col min="3141" max="3141" width="8.88671875" style="80" customWidth="1"/>
    <col min="3142" max="3142" width="1.109375" style="80" customWidth="1"/>
    <col min="3143" max="3143" width="9.109375" style="80" customWidth="1"/>
    <col min="3144" max="3144" width="1.109375" style="80" customWidth="1"/>
    <col min="3145" max="3145" width="10" style="80" customWidth="1"/>
    <col min="3146" max="3146" width="1.109375" style="80" customWidth="1"/>
    <col min="3147" max="3147" width="9.109375" style="80" customWidth="1"/>
    <col min="3148" max="3148" width="1.109375" style="80" customWidth="1"/>
    <col min="3149" max="3149" width="11.109375" style="80" customWidth="1"/>
    <col min="3150" max="3150" width="1.109375" style="80" customWidth="1"/>
    <col min="3151" max="3151" width="9.109375" style="80" customWidth="1"/>
    <col min="3152" max="3152" width="1.88671875" style="80" customWidth="1"/>
    <col min="3153" max="3153" width="11" style="80" customWidth="1"/>
    <col min="3154" max="3154" width="1.109375" style="80" customWidth="1"/>
    <col min="3155" max="3155" width="10.88671875" style="80" customWidth="1"/>
    <col min="3156" max="3156" width="1.109375" style="80" customWidth="1"/>
    <col min="3157" max="3157" width="10" style="80" customWidth="1"/>
    <col min="3158" max="3158" width="1.109375" style="80" customWidth="1"/>
    <col min="3159" max="3159" width="9.109375" style="80" customWidth="1"/>
    <col min="3160" max="3160" width="1.109375" style="80" customWidth="1"/>
    <col min="3161" max="3161" width="7.88671875" style="80" customWidth="1"/>
    <col min="3162" max="3162" width="1.109375" style="80" customWidth="1"/>
    <col min="3163" max="3163" width="0.88671875" style="80" customWidth="1"/>
    <col min="3164" max="3164" width="9.109375" style="80" customWidth="1"/>
    <col min="3165" max="3165" width="1.109375" style="80" customWidth="1"/>
    <col min="3166" max="3166" width="0.88671875" style="80" customWidth="1"/>
    <col min="3167" max="3167" width="9.5546875" style="80" bestFit="1" customWidth="1"/>
    <col min="3168" max="3169" width="0.88671875" style="80" customWidth="1"/>
    <col min="3170" max="3170" width="9.88671875" style="80" customWidth="1"/>
    <col min="3171" max="3171" width="1.109375" style="80" customWidth="1"/>
    <col min="3172" max="3172" width="8.5546875" style="80" customWidth="1"/>
    <col min="3173" max="3173" width="14.5546875" style="80" customWidth="1"/>
    <col min="3174" max="3174" width="10" style="80" customWidth="1"/>
    <col min="3175" max="3175" width="7.88671875" style="80" bestFit="1" customWidth="1"/>
    <col min="3176" max="3176" width="9.88671875" style="80" customWidth="1"/>
    <col min="3177" max="3393" width="8.88671875" style="80"/>
    <col min="3394" max="3394" width="38.44140625" style="80" customWidth="1"/>
    <col min="3395" max="3395" width="8.5546875" style="80" customWidth="1"/>
    <col min="3396" max="3396" width="1.109375" style="80" customWidth="1"/>
    <col min="3397" max="3397" width="8.88671875" style="80" customWidth="1"/>
    <col min="3398" max="3398" width="1.109375" style="80" customWidth="1"/>
    <col min="3399" max="3399" width="9.109375" style="80" customWidth="1"/>
    <col min="3400" max="3400" width="1.109375" style="80" customWidth="1"/>
    <col min="3401" max="3401" width="10" style="80" customWidth="1"/>
    <col min="3402" max="3402" width="1.109375" style="80" customWidth="1"/>
    <col min="3403" max="3403" width="9.109375" style="80" customWidth="1"/>
    <col min="3404" max="3404" width="1.109375" style="80" customWidth="1"/>
    <col min="3405" max="3405" width="11.109375" style="80" customWidth="1"/>
    <col min="3406" max="3406" width="1.109375" style="80" customWidth="1"/>
    <col min="3407" max="3407" width="9.109375" style="80" customWidth="1"/>
    <col min="3408" max="3408" width="1.88671875" style="80" customWidth="1"/>
    <col min="3409" max="3409" width="11" style="80" customWidth="1"/>
    <col min="3410" max="3410" width="1.109375" style="80" customWidth="1"/>
    <col min="3411" max="3411" width="10.88671875" style="80" customWidth="1"/>
    <col min="3412" max="3412" width="1.109375" style="80" customWidth="1"/>
    <col min="3413" max="3413" width="10" style="80" customWidth="1"/>
    <col min="3414" max="3414" width="1.109375" style="80" customWidth="1"/>
    <col min="3415" max="3415" width="9.109375" style="80" customWidth="1"/>
    <col min="3416" max="3416" width="1.109375" style="80" customWidth="1"/>
    <col min="3417" max="3417" width="7.88671875" style="80" customWidth="1"/>
    <col min="3418" max="3418" width="1.109375" style="80" customWidth="1"/>
    <col min="3419" max="3419" width="0.88671875" style="80" customWidth="1"/>
    <col min="3420" max="3420" width="9.109375" style="80" customWidth="1"/>
    <col min="3421" max="3421" width="1.109375" style="80" customWidth="1"/>
    <col min="3422" max="3422" width="0.88671875" style="80" customWidth="1"/>
    <col min="3423" max="3423" width="9.5546875" style="80" bestFit="1" customWidth="1"/>
    <col min="3424" max="3425" width="0.88671875" style="80" customWidth="1"/>
    <col min="3426" max="3426" width="9.88671875" style="80" customWidth="1"/>
    <col min="3427" max="3427" width="1.109375" style="80" customWidth="1"/>
    <col min="3428" max="3428" width="8.5546875" style="80" customWidth="1"/>
    <col min="3429" max="3429" width="14.5546875" style="80" customWidth="1"/>
    <col min="3430" max="3430" width="10" style="80" customWidth="1"/>
    <col min="3431" max="3431" width="7.88671875" style="80" bestFit="1" customWidth="1"/>
    <col min="3432" max="3432" width="9.88671875" style="80" customWidth="1"/>
    <col min="3433" max="3649" width="8.88671875" style="80"/>
    <col min="3650" max="3650" width="38.44140625" style="80" customWidth="1"/>
    <col min="3651" max="3651" width="8.5546875" style="80" customWidth="1"/>
    <col min="3652" max="3652" width="1.109375" style="80" customWidth="1"/>
    <col min="3653" max="3653" width="8.88671875" style="80" customWidth="1"/>
    <col min="3654" max="3654" width="1.109375" style="80" customWidth="1"/>
    <col min="3655" max="3655" width="9.109375" style="80" customWidth="1"/>
    <col min="3656" max="3656" width="1.109375" style="80" customWidth="1"/>
    <col min="3657" max="3657" width="10" style="80" customWidth="1"/>
    <col min="3658" max="3658" width="1.109375" style="80" customWidth="1"/>
    <col min="3659" max="3659" width="9.109375" style="80" customWidth="1"/>
    <col min="3660" max="3660" width="1.109375" style="80" customWidth="1"/>
    <col min="3661" max="3661" width="11.109375" style="80" customWidth="1"/>
    <col min="3662" max="3662" width="1.109375" style="80" customWidth="1"/>
    <col min="3663" max="3663" width="9.109375" style="80" customWidth="1"/>
    <col min="3664" max="3664" width="1.88671875" style="80" customWidth="1"/>
    <col min="3665" max="3665" width="11" style="80" customWidth="1"/>
    <col min="3666" max="3666" width="1.109375" style="80" customWidth="1"/>
    <col min="3667" max="3667" width="10.88671875" style="80" customWidth="1"/>
    <col min="3668" max="3668" width="1.109375" style="80" customWidth="1"/>
    <col min="3669" max="3669" width="10" style="80" customWidth="1"/>
    <col min="3670" max="3670" width="1.109375" style="80" customWidth="1"/>
    <col min="3671" max="3671" width="9.109375" style="80" customWidth="1"/>
    <col min="3672" max="3672" width="1.109375" style="80" customWidth="1"/>
    <col min="3673" max="3673" width="7.88671875" style="80" customWidth="1"/>
    <col min="3674" max="3674" width="1.109375" style="80" customWidth="1"/>
    <col min="3675" max="3675" width="0.88671875" style="80" customWidth="1"/>
    <col min="3676" max="3676" width="9.109375" style="80" customWidth="1"/>
    <col min="3677" max="3677" width="1.109375" style="80" customWidth="1"/>
    <col min="3678" max="3678" width="0.88671875" style="80" customWidth="1"/>
    <col min="3679" max="3679" width="9.5546875" style="80" bestFit="1" customWidth="1"/>
    <col min="3680" max="3681" width="0.88671875" style="80" customWidth="1"/>
    <col min="3682" max="3682" width="9.88671875" style="80" customWidth="1"/>
    <col min="3683" max="3683" width="1.109375" style="80" customWidth="1"/>
    <col min="3684" max="3684" width="8.5546875" style="80" customWidth="1"/>
    <col min="3685" max="3685" width="14.5546875" style="80" customWidth="1"/>
    <col min="3686" max="3686" width="10" style="80" customWidth="1"/>
    <col min="3687" max="3687" width="7.88671875" style="80" bestFit="1" customWidth="1"/>
    <col min="3688" max="3688" width="9.88671875" style="80" customWidth="1"/>
    <col min="3689" max="3905" width="8.88671875" style="80"/>
    <col min="3906" max="3906" width="38.44140625" style="80" customWidth="1"/>
    <col min="3907" max="3907" width="8.5546875" style="80" customWidth="1"/>
    <col min="3908" max="3908" width="1.109375" style="80" customWidth="1"/>
    <col min="3909" max="3909" width="8.88671875" style="80" customWidth="1"/>
    <col min="3910" max="3910" width="1.109375" style="80" customWidth="1"/>
    <col min="3911" max="3911" width="9.109375" style="80" customWidth="1"/>
    <col min="3912" max="3912" width="1.109375" style="80" customWidth="1"/>
    <col min="3913" max="3913" width="10" style="80" customWidth="1"/>
    <col min="3914" max="3914" width="1.109375" style="80" customWidth="1"/>
    <col min="3915" max="3915" width="9.109375" style="80" customWidth="1"/>
    <col min="3916" max="3916" width="1.109375" style="80" customWidth="1"/>
    <col min="3917" max="3917" width="11.109375" style="80" customWidth="1"/>
    <col min="3918" max="3918" width="1.109375" style="80" customWidth="1"/>
    <col min="3919" max="3919" width="9.109375" style="80" customWidth="1"/>
    <col min="3920" max="3920" width="1.88671875" style="80" customWidth="1"/>
    <col min="3921" max="3921" width="11" style="80" customWidth="1"/>
    <col min="3922" max="3922" width="1.109375" style="80" customWidth="1"/>
    <col min="3923" max="3923" width="10.88671875" style="80" customWidth="1"/>
    <col min="3924" max="3924" width="1.109375" style="80" customWidth="1"/>
    <col min="3925" max="3925" width="10" style="80" customWidth="1"/>
    <col min="3926" max="3926" width="1.109375" style="80" customWidth="1"/>
    <col min="3927" max="3927" width="9.109375" style="80" customWidth="1"/>
    <col min="3928" max="3928" width="1.109375" style="80" customWidth="1"/>
    <col min="3929" max="3929" width="7.88671875" style="80" customWidth="1"/>
    <col min="3930" max="3930" width="1.109375" style="80" customWidth="1"/>
    <col min="3931" max="3931" width="0.88671875" style="80" customWidth="1"/>
    <col min="3932" max="3932" width="9.109375" style="80" customWidth="1"/>
    <col min="3933" max="3933" width="1.109375" style="80" customWidth="1"/>
    <col min="3934" max="3934" width="0.88671875" style="80" customWidth="1"/>
    <col min="3935" max="3935" width="9.5546875" style="80" bestFit="1" customWidth="1"/>
    <col min="3936" max="3937" width="0.88671875" style="80" customWidth="1"/>
    <col min="3938" max="3938" width="9.88671875" style="80" customWidth="1"/>
    <col min="3939" max="3939" width="1.109375" style="80" customWidth="1"/>
    <col min="3940" max="3940" width="8.5546875" style="80" customWidth="1"/>
    <col min="3941" max="3941" width="14.5546875" style="80" customWidth="1"/>
    <col min="3942" max="3942" width="10" style="80" customWidth="1"/>
    <col min="3943" max="3943" width="7.88671875" style="80" bestFit="1" customWidth="1"/>
    <col min="3944" max="3944" width="9.88671875" style="80" customWidth="1"/>
    <col min="3945" max="4161" width="8.88671875" style="80"/>
    <col min="4162" max="4162" width="38.44140625" style="80" customWidth="1"/>
    <col min="4163" max="4163" width="8.5546875" style="80" customWidth="1"/>
    <col min="4164" max="4164" width="1.109375" style="80" customWidth="1"/>
    <col min="4165" max="4165" width="8.88671875" style="80" customWidth="1"/>
    <col min="4166" max="4166" width="1.109375" style="80" customWidth="1"/>
    <col min="4167" max="4167" width="9.109375" style="80" customWidth="1"/>
    <col min="4168" max="4168" width="1.109375" style="80" customWidth="1"/>
    <col min="4169" max="4169" width="10" style="80" customWidth="1"/>
    <col min="4170" max="4170" width="1.109375" style="80" customWidth="1"/>
    <col min="4171" max="4171" width="9.109375" style="80" customWidth="1"/>
    <col min="4172" max="4172" width="1.109375" style="80" customWidth="1"/>
    <col min="4173" max="4173" width="11.109375" style="80" customWidth="1"/>
    <col min="4174" max="4174" width="1.109375" style="80" customWidth="1"/>
    <col min="4175" max="4175" width="9.109375" style="80" customWidth="1"/>
    <col min="4176" max="4176" width="1.88671875" style="80" customWidth="1"/>
    <col min="4177" max="4177" width="11" style="80" customWidth="1"/>
    <col min="4178" max="4178" width="1.109375" style="80" customWidth="1"/>
    <col min="4179" max="4179" width="10.88671875" style="80" customWidth="1"/>
    <col min="4180" max="4180" width="1.109375" style="80" customWidth="1"/>
    <col min="4181" max="4181" width="10" style="80" customWidth="1"/>
    <col min="4182" max="4182" width="1.109375" style="80" customWidth="1"/>
    <col min="4183" max="4183" width="9.109375" style="80" customWidth="1"/>
    <col min="4184" max="4184" width="1.109375" style="80" customWidth="1"/>
    <col min="4185" max="4185" width="7.88671875" style="80" customWidth="1"/>
    <col min="4186" max="4186" width="1.109375" style="80" customWidth="1"/>
    <col min="4187" max="4187" width="0.88671875" style="80" customWidth="1"/>
    <col min="4188" max="4188" width="9.109375" style="80" customWidth="1"/>
    <col min="4189" max="4189" width="1.109375" style="80" customWidth="1"/>
    <col min="4190" max="4190" width="0.88671875" style="80" customWidth="1"/>
    <col min="4191" max="4191" width="9.5546875" style="80" bestFit="1" customWidth="1"/>
    <col min="4192" max="4193" width="0.88671875" style="80" customWidth="1"/>
    <col min="4194" max="4194" width="9.88671875" style="80" customWidth="1"/>
    <col min="4195" max="4195" width="1.109375" style="80" customWidth="1"/>
    <col min="4196" max="4196" width="8.5546875" style="80" customWidth="1"/>
    <col min="4197" max="4197" width="14.5546875" style="80" customWidth="1"/>
    <col min="4198" max="4198" width="10" style="80" customWidth="1"/>
    <col min="4199" max="4199" width="7.88671875" style="80" bestFit="1" customWidth="1"/>
    <col min="4200" max="4200" width="9.88671875" style="80" customWidth="1"/>
    <col min="4201" max="4417" width="8.88671875" style="80"/>
    <col min="4418" max="4418" width="38.44140625" style="80" customWidth="1"/>
    <col min="4419" max="4419" width="8.5546875" style="80" customWidth="1"/>
    <col min="4420" max="4420" width="1.109375" style="80" customWidth="1"/>
    <col min="4421" max="4421" width="8.88671875" style="80" customWidth="1"/>
    <col min="4422" max="4422" width="1.109375" style="80" customWidth="1"/>
    <col min="4423" max="4423" width="9.109375" style="80" customWidth="1"/>
    <col min="4424" max="4424" width="1.109375" style="80" customWidth="1"/>
    <col min="4425" max="4425" width="10" style="80" customWidth="1"/>
    <col min="4426" max="4426" width="1.109375" style="80" customWidth="1"/>
    <col min="4427" max="4427" width="9.109375" style="80" customWidth="1"/>
    <col min="4428" max="4428" width="1.109375" style="80" customWidth="1"/>
    <col min="4429" max="4429" width="11.109375" style="80" customWidth="1"/>
    <col min="4430" max="4430" width="1.109375" style="80" customWidth="1"/>
    <col min="4431" max="4431" width="9.109375" style="80" customWidth="1"/>
    <col min="4432" max="4432" width="1.88671875" style="80" customWidth="1"/>
    <col min="4433" max="4433" width="11" style="80" customWidth="1"/>
    <col min="4434" max="4434" width="1.109375" style="80" customWidth="1"/>
    <col min="4435" max="4435" width="10.88671875" style="80" customWidth="1"/>
    <col min="4436" max="4436" width="1.109375" style="80" customWidth="1"/>
    <col min="4437" max="4437" width="10" style="80" customWidth="1"/>
    <col min="4438" max="4438" width="1.109375" style="80" customWidth="1"/>
    <col min="4439" max="4439" width="9.109375" style="80" customWidth="1"/>
    <col min="4440" max="4440" width="1.109375" style="80" customWidth="1"/>
    <col min="4441" max="4441" width="7.88671875" style="80" customWidth="1"/>
    <col min="4442" max="4442" width="1.109375" style="80" customWidth="1"/>
    <col min="4443" max="4443" width="0.88671875" style="80" customWidth="1"/>
    <col min="4444" max="4444" width="9.109375" style="80" customWidth="1"/>
    <col min="4445" max="4445" width="1.109375" style="80" customWidth="1"/>
    <col min="4446" max="4446" width="0.88671875" style="80" customWidth="1"/>
    <col min="4447" max="4447" width="9.5546875" style="80" bestFit="1" customWidth="1"/>
    <col min="4448" max="4449" width="0.88671875" style="80" customWidth="1"/>
    <col min="4450" max="4450" width="9.88671875" style="80" customWidth="1"/>
    <col min="4451" max="4451" width="1.109375" style="80" customWidth="1"/>
    <col min="4452" max="4452" width="8.5546875" style="80" customWidth="1"/>
    <col min="4453" max="4453" width="14.5546875" style="80" customWidth="1"/>
    <col min="4454" max="4454" width="10" style="80" customWidth="1"/>
    <col min="4455" max="4455" width="7.88671875" style="80" bestFit="1" customWidth="1"/>
    <col min="4456" max="4456" width="9.88671875" style="80" customWidth="1"/>
    <col min="4457" max="4673" width="8.88671875" style="80"/>
    <col min="4674" max="4674" width="38.44140625" style="80" customWidth="1"/>
    <col min="4675" max="4675" width="8.5546875" style="80" customWidth="1"/>
    <col min="4676" max="4676" width="1.109375" style="80" customWidth="1"/>
    <col min="4677" max="4677" width="8.88671875" style="80" customWidth="1"/>
    <col min="4678" max="4678" width="1.109375" style="80" customWidth="1"/>
    <col min="4679" max="4679" width="9.109375" style="80" customWidth="1"/>
    <col min="4680" max="4680" width="1.109375" style="80" customWidth="1"/>
    <col min="4681" max="4681" width="10" style="80" customWidth="1"/>
    <col min="4682" max="4682" width="1.109375" style="80" customWidth="1"/>
    <col min="4683" max="4683" width="9.109375" style="80" customWidth="1"/>
    <col min="4684" max="4684" width="1.109375" style="80" customWidth="1"/>
    <col min="4685" max="4685" width="11.109375" style="80" customWidth="1"/>
    <col min="4686" max="4686" width="1.109375" style="80" customWidth="1"/>
    <col min="4687" max="4687" width="9.109375" style="80" customWidth="1"/>
    <col min="4688" max="4688" width="1.88671875" style="80" customWidth="1"/>
    <col min="4689" max="4689" width="11" style="80" customWidth="1"/>
    <col min="4690" max="4690" width="1.109375" style="80" customWidth="1"/>
    <col min="4691" max="4691" width="10.88671875" style="80" customWidth="1"/>
    <col min="4692" max="4692" width="1.109375" style="80" customWidth="1"/>
    <col min="4693" max="4693" width="10" style="80" customWidth="1"/>
    <col min="4694" max="4694" width="1.109375" style="80" customWidth="1"/>
    <col min="4695" max="4695" width="9.109375" style="80" customWidth="1"/>
    <col min="4696" max="4696" width="1.109375" style="80" customWidth="1"/>
    <col min="4697" max="4697" width="7.88671875" style="80" customWidth="1"/>
    <col min="4698" max="4698" width="1.109375" style="80" customWidth="1"/>
    <col min="4699" max="4699" width="0.88671875" style="80" customWidth="1"/>
    <col min="4700" max="4700" width="9.109375" style="80" customWidth="1"/>
    <col min="4701" max="4701" width="1.109375" style="80" customWidth="1"/>
    <col min="4702" max="4702" width="0.88671875" style="80" customWidth="1"/>
    <col min="4703" max="4703" width="9.5546875" style="80" bestFit="1" customWidth="1"/>
    <col min="4704" max="4705" width="0.88671875" style="80" customWidth="1"/>
    <col min="4706" max="4706" width="9.88671875" style="80" customWidth="1"/>
    <col min="4707" max="4707" width="1.109375" style="80" customWidth="1"/>
    <col min="4708" max="4708" width="8.5546875" style="80" customWidth="1"/>
    <col min="4709" max="4709" width="14.5546875" style="80" customWidth="1"/>
    <col min="4710" max="4710" width="10" style="80" customWidth="1"/>
    <col min="4711" max="4711" width="7.88671875" style="80" bestFit="1" customWidth="1"/>
    <col min="4712" max="4712" width="9.88671875" style="80" customWidth="1"/>
    <col min="4713" max="4929" width="8.88671875" style="80"/>
    <col min="4930" max="4930" width="38.44140625" style="80" customWidth="1"/>
    <col min="4931" max="4931" width="8.5546875" style="80" customWidth="1"/>
    <col min="4932" max="4932" width="1.109375" style="80" customWidth="1"/>
    <col min="4933" max="4933" width="8.88671875" style="80" customWidth="1"/>
    <col min="4934" max="4934" width="1.109375" style="80" customWidth="1"/>
    <col min="4935" max="4935" width="9.109375" style="80" customWidth="1"/>
    <col min="4936" max="4936" width="1.109375" style="80" customWidth="1"/>
    <col min="4937" max="4937" width="10" style="80" customWidth="1"/>
    <col min="4938" max="4938" width="1.109375" style="80" customWidth="1"/>
    <col min="4939" max="4939" width="9.109375" style="80" customWidth="1"/>
    <col min="4940" max="4940" width="1.109375" style="80" customWidth="1"/>
    <col min="4941" max="4941" width="11.109375" style="80" customWidth="1"/>
    <col min="4942" max="4942" width="1.109375" style="80" customWidth="1"/>
    <col min="4943" max="4943" width="9.109375" style="80" customWidth="1"/>
    <col min="4944" max="4944" width="1.88671875" style="80" customWidth="1"/>
    <col min="4945" max="4945" width="11" style="80" customWidth="1"/>
    <col min="4946" max="4946" width="1.109375" style="80" customWidth="1"/>
    <col min="4947" max="4947" width="10.88671875" style="80" customWidth="1"/>
    <col min="4948" max="4948" width="1.109375" style="80" customWidth="1"/>
    <col min="4949" max="4949" width="10" style="80" customWidth="1"/>
    <col min="4950" max="4950" width="1.109375" style="80" customWidth="1"/>
    <col min="4951" max="4951" width="9.109375" style="80" customWidth="1"/>
    <col min="4952" max="4952" width="1.109375" style="80" customWidth="1"/>
    <col min="4953" max="4953" width="7.88671875" style="80" customWidth="1"/>
    <col min="4954" max="4954" width="1.109375" style="80" customWidth="1"/>
    <col min="4955" max="4955" width="0.88671875" style="80" customWidth="1"/>
    <col min="4956" max="4956" width="9.109375" style="80" customWidth="1"/>
    <col min="4957" max="4957" width="1.109375" style="80" customWidth="1"/>
    <col min="4958" max="4958" width="0.88671875" style="80" customWidth="1"/>
    <col min="4959" max="4959" width="9.5546875" style="80" bestFit="1" customWidth="1"/>
    <col min="4960" max="4961" width="0.88671875" style="80" customWidth="1"/>
    <col min="4962" max="4962" width="9.88671875" style="80" customWidth="1"/>
    <col min="4963" max="4963" width="1.109375" style="80" customWidth="1"/>
    <col min="4964" max="4964" width="8.5546875" style="80" customWidth="1"/>
    <col min="4965" max="4965" width="14.5546875" style="80" customWidth="1"/>
    <col min="4966" max="4966" width="10" style="80" customWidth="1"/>
    <col min="4967" max="4967" width="7.88671875" style="80" bestFit="1" customWidth="1"/>
    <col min="4968" max="4968" width="9.88671875" style="80" customWidth="1"/>
    <col min="4969" max="5185" width="8.88671875" style="80"/>
    <col min="5186" max="5186" width="38.44140625" style="80" customWidth="1"/>
    <col min="5187" max="5187" width="8.5546875" style="80" customWidth="1"/>
    <col min="5188" max="5188" width="1.109375" style="80" customWidth="1"/>
    <col min="5189" max="5189" width="8.88671875" style="80" customWidth="1"/>
    <col min="5190" max="5190" width="1.109375" style="80" customWidth="1"/>
    <col min="5191" max="5191" width="9.109375" style="80" customWidth="1"/>
    <col min="5192" max="5192" width="1.109375" style="80" customWidth="1"/>
    <col min="5193" max="5193" width="10" style="80" customWidth="1"/>
    <col min="5194" max="5194" width="1.109375" style="80" customWidth="1"/>
    <col min="5195" max="5195" width="9.109375" style="80" customWidth="1"/>
    <col min="5196" max="5196" width="1.109375" style="80" customWidth="1"/>
    <col min="5197" max="5197" width="11.109375" style="80" customWidth="1"/>
    <col min="5198" max="5198" width="1.109375" style="80" customWidth="1"/>
    <col min="5199" max="5199" width="9.109375" style="80" customWidth="1"/>
    <col min="5200" max="5200" width="1.88671875" style="80" customWidth="1"/>
    <col min="5201" max="5201" width="11" style="80" customWidth="1"/>
    <col min="5202" max="5202" width="1.109375" style="80" customWidth="1"/>
    <col min="5203" max="5203" width="10.88671875" style="80" customWidth="1"/>
    <col min="5204" max="5204" width="1.109375" style="80" customWidth="1"/>
    <col min="5205" max="5205" width="10" style="80" customWidth="1"/>
    <col min="5206" max="5206" width="1.109375" style="80" customWidth="1"/>
    <col min="5207" max="5207" width="9.109375" style="80" customWidth="1"/>
    <col min="5208" max="5208" width="1.109375" style="80" customWidth="1"/>
    <col min="5209" max="5209" width="7.88671875" style="80" customWidth="1"/>
    <col min="5210" max="5210" width="1.109375" style="80" customWidth="1"/>
    <col min="5211" max="5211" width="0.88671875" style="80" customWidth="1"/>
    <col min="5212" max="5212" width="9.109375" style="80" customWidth="1"/>
    <col min="5213" max="5213" width="1.109375" style="80" customWidth="1"/>
    <col min="5214" max="5214" width="0.88671875" style="80" customWidth="1"/>
    <col min="5215" max="5215" width="9.5546875" style="80" bestFit="1" customWidth="1"/>
    <col min="5216" max="5217" width="0.88671875" style="80" customWidth="1"/>
    <col min="5218" max="5218" width="9.88671875" style="80" customWidth="1"/>
    <col min="5219" max="5219" width="1.109375" style="80" customWidth="1"/>
    <col min="5220" max="5220" width="8.5546875" style="80" customWidth="1"/>
    <col min="5221" max="5221" width="14.5546875" style="80" customWidth="1"/>
    <col min="5222" max="5222" width="10" style="80" customWidth="1"/>
    <col min="5223" max="5223" width="7.88671875" style="80" bestFit="1" customWidth="1"/>
    <col min="5224" max="5224" width="9.88671875" style="80" customWidth="1"/>
    <col min="5225" max="5441" width="8.88671875" style="80"/>
    <col min="5442" max="5442" width="38.44140625" style="80" customWidth="1"/>
    <col min="5443" max="5443" width="8.5546875" style="80" customWidth="1"/>
    <col min="5444" max="5444" width="1.109375" style="80" customWidth="1"/>
    <col min="5445" max="5445" width="8.88671875" style="80" customWidth="1"/>
    <col min="5446" max="5446" width="1.109375" style="80" customWidth="1"/>
    <col min="5447" max="5447" width="9.109375" style="80" customWidth="1"/>
    <col min="5448" max="5448" width="1.109375" style="80" customWidth="1"/>
    <col min="5449" max="5449" width="10" style="80" customWidth="1"/>
    <col min="5450" max="5450" width="1.109375" style="80" customWidth="1"/>
    <col min="5451" max="5451" width="9.109375" style="80" customWidth="1"/>
    <col min="5452" max="5452" width="1.109375" style="80" customWidth="1"/>
    <col min="5453" max="5453" width="11.109375" style="80" customWidth="1"/>
    <col min="5454" max="5454" width="1.109375" style="80" customWidth="1"/>
    <col min="5455" max="5455" width="9.109375" style="80" customWidth="1"/>
    <col min="5456" max="5456" width="1.88671875" style="80" customWidth="1"/>
    <col min="5457" max="5457" width="11" style="80" customWidth="1"/>
    <col min="5458" max="5458" width="1.109375" style="80" customWidth="1"/>
    <col min="5459" max="5459" width="10.88671875" style="80" customWidth="1"/>
    <col min="5460" max="5460" width="1.109375" style="80" customWidth="1"/>
    <col min="5461" max="5461" width="10" style="80" customWidth="1"/>
    <col min="5462" max="5462" width="1.109375" style="80" customWidth="1"/>
    <col min="5463" max="5463" width="9.109375" style="80" customWidth="1"/>
    <col min="5464" max="5464" width="1.109375" style="80" customWidth="1"/>
    <col min="5465" max="5465" width="7.88671875" style="80" customWidth="1"/>
    <col min="5466" max="5466" width="1.109375" style="80" customWidth="1"/>
    <col min="5467" max="5467" width="0.88671875" style="80" customWidth="1"/>
    <col min="5468" max="5468" width="9.109375" style="80" customWidth="1"/>
    <col min="5469" max="5469" width="1.109375" style="80" customWidth="1"/>
    <col min="5470" max="5470" width="0.88671875" style="80" customWidth="1"/>
    <col min="5471" max="5471" width="9.5546875" style="80" bestFit="1" customWidth="1"/>
    <col min="5472" max="5473" width="0.88671875" style="80" customWidth="1"/>
    <col min="5474" max="5474" width="9.88671875" style="80" customWidth="1"/>
    <col min="5475" max="5475" width="1.109375" style="80" customWidth="1"/>
    <col min="5476" max="5476" width="8.5546875" style="80" customWidth="1"/>
    <col min="5477" max="5477" width="14.5546875" style="80" customWidth="1"/>
    <col min="5478" max="5478" width="10" style="80" customWidth="1"/>
    <col min="5479" max="5479" width="7.88671875" style="80" bestFit="1" customWidth="1"/>
    <col min="5480" max="5480" width="9.88671875" style="80" customWidth="1"/>
    <col min="5481" max="5697" width="8.88671875" style="80"/>
    <col min="5698" max="5698" width="38.44140625" style="80" customWidth="1"/>
    <col min="5699" max="5699" width="8.5546875" style="80" customWidth="1"/>
    <col min="5700" max="5700" width="1.109375" style="80" customWidth="1"/>
    <col min="5701" max="5701" width="8.88671875" style="80" customWidth="1"/>
    <col min="5702" max="5702" width="1.109375" style="80" customWidth="1"/>
    <col min="5703" max="5703" width="9.109375" style="80" customWidth="1"/>
    <col min="5704" max="5704" width="1.109375" style="80" customWidth="1"/>
    <col min="5705" max="5705" width="10" style="80" customWidth="1"/>
    <col min="5706" max="5706" width="1.109375" style="80" customWidth="1"/>
    <col min="5707" max="5707" width="9.109375" style="80" customWidth="1"/>
    <col min="5708" max="5708" width="1.109375" style="80" customWidth="1"/>
    <col min="5709" max="5709" width="11.109375" style="80" customWidth="1"/>
    <col min="5710" max="5710" width="1.109375" style="80" customWidth="1"/>
    <col min="5711" max="5711" width="9.109375" style="80" customWidth="1"/>
    <col min="5712" max="5712" width="1.88671875" style="80" customWidth="1"/>
    <col min="5713" max="5713" width="11" style="80" customWidth="1"/>
    <col min="5714" max="5714" width="1.109375" style="80" customWidth="1"/>
    <col min="5715" max="5715" width="10.88671875" style="80" customWidth="1"/>
    <col min="5716" max="5716" width="1.109375" style="80" customWidth="1"/>
    <col min="5717" max="5717" width="10" style="80" customWidth="1"/>
    <col min="5718" max="5718" width="1.109375" style="80" customWidth="1"/>
    <col min="5719" max="5719" width="9.109375" style="80" customWidth="1"/>
    <col min="5720" max="5720" width="1.109375" style="80" customWidth="1"/>
    <col min="5721" max="5721" width="7.88671875" style="80" customWidth="1"/>
    <col min="5722" max="5722" width="1.109375" style="80" customWidth="1"/>
    <col min="5723" max="5723" width="0.88671875" style="80" customWidth="1"/>
    <col min="5724" max="5724" width="9.109375" style="80" customWidth="1"/>
    <col min="5725" max="5725" width="1.109375" style="80" customWidth="1"/>
    <col min="5726" max="5726" width="0.88671875" style="80" customWidth="1"/>
    <col min="5727" max="5727" width="9.5546875" style="80" bestFit="1" customWidth="1"/>
    <col min="5728" max="5729" width="0.88671875" style="80" customWidth="1"/>
    <col min="5730" max="5730" width="9.88671875" style="80" customWidth="1"/>
    <col min="5731" max="5731" width="1.109375" style="80" customWidth="1"/>
    <col min="5732" max="5732" width="8.5546875" style="80" customWidth="1"/>
    <col min="5733" max="5733" width="14.5546875" style="80" customWidth="1"/>
    <col min="5734" max="5734" width="10" style="80" customWidth="1"/>
    <col min="5735" max="5735" width="7.88671875" style="80" bestFit="1" customWidth="1"/>
    <col min="5736" max="5736" width="9.88671875" style="80" customWidth="1"/>
    <col min="5737" max="5953" width="8.88671875" style="80"/>
    <col min="5954" max="5954" width="38.44140625" style="80" customWidth="1"/>
    <col min="5955" max="5955" width="8.5546875" style="80" customWidth="1"/>
    <col min="5956" max="5956" width="1.109375" style="80" customWidth="1"/>
    <col min="5957" max="5957" width="8.88671875" style="80" customWidth="1"/>
    <col min="5958" max="5958" width="1.109375" style="80" customWidth="1"/>
    <col min="5959" max="5959" width="9.109375" style="80" customWidth="1"/>
    <col min="5960" max="5960" width="1.109375" style="80" customWidth="1"/>
    <col min="5961" max="5961" width="10" style="80" customWidth="1"/>
    <col min="5962" max="5962" width="1.109375" style="80" customWidth="1"/>
    <col min="5963" max="5963" width="9.109375" style="80" customWidth="1"/>
    <col min="5964" max="5964" width="1.109375" style="80" customWidth="1"/>
    <col min="5965" max="5965" width="11.109375" style="80" customWidth="1"/>
    <col min="5966" max="5966" width="1.109375" style="80" customWidth="1"/>
    <col min="5967" max="5967" width="9.109375" style="80" customWidth="1"/>
    <col min="5968" max="5968" width="1.88671875" style="80" customWidth="1"/>
    <col min="5969" max="5969" width="11" style="80" customWidth="1"/>
    <col min="5970" max="5970" width="1.109375" style="80" customWidth="1"/>
    <col min="5971" max="5971" width="10.88671875" style="80" customWidth="1"/>
    <col min="5972" max="5972" width="1.109375" style="80" customWidth="1"/>
    <col min="5973" max="5973" width="10" style="80" customWidth="1"/>
    <col min="5974" max="5974" width="1.109375" style="80" customWidth="1"/>
    <col min="5975" max="5975" width="9.109375" style="80" customWidth="1"/>
    <col min="5976" max="5976" width="1.109375" style="80" customWidth="1"/>
    <col min="5977" max="5977" width="7.88671875" style="80" customWidth="1"/>
    <col min="5978" max="5978" width="1.109375" style="80" customWidth="1"/>
    <col min="5979" max="5979" width="0.88671875" style="80" customWidth="1"/>
    <col min="5980" max="5980" width="9.109375" style="80" customWidth="1"/>
    <col min="5981" max="5981" width="1.109375" style="80" customWidth="1"/>
    <col min="5982" max="5982" width="0.88671875" style="80" customWidth="1"/>
    <col min="5983" max="5983" width="9.5546875" style="80" bestFit="1" customWidth="1"/>
    <col min="5984" max="5985" width="0.88671875" style="80" customWidth="1"/>
    <col min="5986" max="5986" width="9.88671875" style="80" customWidth="1"/>
    <col min="5987" max="5987" width="1.109375" style="80" customWidth="1"/>
    <col min="5988" max="5988" width="8.5546875" style="80" customWidth="1"/>
    <col min="5989" max="5989" width="14.5546875" style="80" customWidth="1"/>
    <col min="5990" max="5990" width="10" style="80" customWidth="1"/>
    <col min="5991" max="5991" width="7.88671875" style="80" bestFit="1" customWidth="1"/>
    <col min="5992" max="5992" width="9.88671875" style="80" customWidth="1"/>
    <col min="5993" max="6209" width="8.88671875" style="80"/>
    <col min="6210" max="6210" width="38.44140625" style="80" customWidth="1"/>
    <col min="6211" max="6211" width="8.5546875" style="80" customWidth="1"/>
    <col min="6212" max="6212" width="1.109375" style="80" customWidth="1"/>
    <col min="6213" max="6213" width="8.88671875" style="80" customWidth="1"/>
    <col min="6214" max="6214" width="1.109375" style="80" customWidth="1"/>
    <col min="6215" max="6215" width="9.109375" style="80" customWidth="1"/>
    <col min="6216" max="6216" width="1.109375" style="80" customWidth="1"/>
    <col min="6217" max="6217" width="10" style="80" customWidth="1"/>
    <col min="6218" max="6218" width="1.109375" style="80" customWidth="1"/>
    <col min="6219" max="6219" width="9.109375" style="80" customWidth="1"/>
    <col min="6220" max="6220" width="1.109375" style="80" customWidth="1"/>
    <col min="6221" max="6221" width="11.109375" style="80" customWidth="1"/>
    <col min="6222" max="6222" width="1.109375" style="80" customWidth="1"/>
    <col min="6223" max="6223" width="9.109375" style="80" customWidth="1"/>
    <col min="6224" max="6224" width="1.88671875" style="80" customWidth="1"/>
    <col min="6225" max="6225" width="11" style="80" customWidth="1"/>
    <col min="6226" max="6226" width="1.109375" style="80" customWidth="1"/>
    <col min="6227" max="6227" width="10.88671875" style="80" customWidth="1"/>
    <col min="6228" max="6228" width="1.109375" style="80" customWidth="1"/>
    <col min="6229" max="6229" width="10" style="80" customWidth="1"/>
    <col min="6230" max="6230" width="1.109375" style="80" customWidth="1"/>
    <col min="6231" max="6231" width="9.109375" style="80" customWidth="1"/>
    <col min="6232" max="6232" width="1.109375" style="80" customWidth="1"/>
    <col min="6233" max="6233" width="7.88671875" style="80" customWidth="1"/>
    <col min="6234" max="6234" width="1.109375" style="80" customWidth="1"/>
    <col min="6235" max="6235" width="0.88671875" style="80" customWidth="1"/>
    <col min="6236" max="6236" width="9.109375" style="80" customWidth="1"/>
    <col min="6237" max="6237" width="1.109375" style="80" customWidth="1"/>
    <col min="6238" max="6238" width="0.88671875" style="80" customWidth="1"/>
    <col min="6239" max="6239" width="9.5546875" style="80" bestFit="1" customWidth="1"/>
    <col min="6240" max="6241" width="0.88671875" style="80" customWidth="1"/>
    <col min="6242" max="6242" width="9.88671875" style="80" customWidth="1"/>
    <col min="6243" max="6243" width="1.109375" style="80" customWidth="1"/>
    <col min="6244" max="6244" width="8.5546875" style="80" customWidth="1"/>
    <col min="6245" max="6245" width="14.5546875" style="80" customWidth="1"/>
    <col min="6246" max="6246" width="10" style="80" customWidth="1"/>
    <col min="6247" max="6247" width="7.88671875" style="80" bestFit="1" customWidth="1"/>
    <col min="6248" max="6248" width="9.88671875" style="80" customWidth="1"/>
    <col min="6249" max="6465" width="8.88671875" style="80"/>
    <col min="6466" max="6466" width="38.44140625" style="80" customWidth="1"/>
    <col min="6467" max="6467" width="8.5546875" style="80" customWidth="1"/>
    <col min="6468" max="6468" width="1.109375" style="80" customWidth="1"/>
    <col min="6469" max="6469" width="8.88671875" style="80" customWidth="1"/>
    <col min="6470" max="6470" width="1.109375" style="80" customWidth="1"/>
    <col min="6471" max="6471" width="9.109375" style="80" customWidth="1"/>
    <col min="6472" max="6472" width="1.109375" style="80" customWidth="1"/>
    <col min="6473" max="6473" width="10" style="80" customWidth="1"/>
    <col min="6474" max="6474" width="1.109375" style="80" customWidth="1"/>
    <col min="6475" max="6475" width="9.109375" style="80" customWidth="1"/>
    <col min="6476" max="6476" width="1.109375" style="80" customWidth="1"/>
    <col min="6477" max="6477" width="11.109375" style="80" customWidth="1"/>
    <col min="6478" max="6478" width="1.109375" style="80" customWidth="1"/>
    <col min="6479" max="6479" width="9.109375" style="80" customWidth="1"/>
    <col min="6480" max="6480" width="1.88671875" style="80" customWidth="1"/>
    <col min="6481" max="6481" width="11" style="80" customWidth="1"/>
    <col min="6482" max="6482" width="1.109375" style="80" customWidth="1"/>
    <col min="6483" max="6483" width="10.88671875" style="80" customWidth="1"/>
    <col min="6484" max="6484" width="1.109375" style="80" customWidth="1"/>
    <col min="6485" max="6485" width="10" style="80" customWidth="1"/>
    <col min="6486" max="6486" width="1.109375" style="80" customWidth="1"/>
    <col min="6487" max="6487" width="9.109375" style="80" customWidth="1"/>
    <col min="6488" max="6488" width="1.109375" style="80" customWidth="1"/>
    <col min="6489" max="6489" width="7.88671875" style="80" customWidth="1"/>
    <col min="6490" max="6490" width="1.109375" style="80" customWidth="1"/>
    <col min="6491" max="6491" width="0.88671875" style="80" customWidth="1"/>
    <col min="6492" max="6492" width="9.109375" style="80" customWidth="1"/>
    <col min="6493" max="6493" width="1.109375" style="80" customWidth="1"/>
    <col min="6494" max="6494" width="0.88671875" style="80" customWidth="1"/>
    <col min="6495" max="6495" width="9.5546875" style="80" bestFit="1" customWidth="1"/>
    <col min="6496" max="6497" width="0.88671875" style="80" customWidth="1"/>
    <col min="6498" max="6498" width="9.88671875" style="80" customWidth="1"/>
    <col min="6499" max="6499" width="1.109375" style="80" customWidth="1"/>
    <col min="6500" max="6500" width="8.5546875" style="80" customWidth="1"/>
    <col min="6501" max="6501" width="14.5546875" style="80" customWidth="1"/>
    <col min="6502" max="6502" width="10" style="80" customWidth="1"/>
    <col min="6503" max="6503" width="7.88671875" style="80" bestFit="1" customWidth="1"/>
    <col min="6504" max="6504" width="9.88671875" style="80" customWidth="1"/>
    <col min="6505" max="6721" width="8.88671875" style="80"/>
    <col min="6722" max="6722" width="38.44140625" style="80" customWidth="1"/>
    <col min="6723" max="6723" width="8.5546875" style="80" customWidth="1"/>
    <col min="6724" max="6724" width="1.109375" style="80" customWidth="1"/>
    <col min="6725" max="6725" width="8.88671875" style="80" customWidth="1"/>
    <col min="6726" max="6726" width="1.109375" style="80" customWidth="1"/>
    <col min="6727" max="6727" width="9.109375" style="80" customWidth="1"/>
    <col min="6728" max="6728" width="1.109375" style="80" customWidth="1"/>
    <col min="6729" max="6729" width="10" style="80" customWidth="1"/>
    <col min="6730" max="6730" width="1.109375" style="80" customWidth="1"/>
    <col min="6731" max="6731" width="9.109375" style="80" customWidth="1"/>
    <col min="6732" max="6732" width="1.109375" style="80" customWidth="1"/>
    <col min="6733" max="6733" width="11.109375" style="80" customWidth="1"/>
    <col min="6734" max="6734" width="1.109375" style="80" customWidth="1"/>
    <col min="6735" max="6735" width="9.109375" style="80" customWidth="1"/>
    <col min="6736" max="6736" width="1.88671875" style="80" customWidth="1"/>
    <col min="6737" max="6737" width="11" style="80" customWidth="1"/>
    <col min="6738" max="6738" width="1.109375" style="80" customWidth="1"/>
    <col min="6739" max="6739" width="10.88671875" style="80" customWidth="1"/>
    <col min="6740" max="6740" width="1.109375" style="80" customWidth="1"/>
    <col min="6741" max="6741" width="10" style="80" customWidth="1"/>
    <col min="6742" max="6742" width="1.109375" style="80" customWidth="1"/>
    <col min="6743" max="6743" width="9.109375" style="80" customWidth="1"/>
    <col min="6744" max="6744" width="1.109375" style="80" customWidth="1"/>
    <col min="6745" max="6745" width="7.88671875" style="80" customWidth="1"/>
    <col min="6746" max="6746" width="1.109375" style="80" customWidth="1"/>
    <col min="6747" max="6747" width="0.88671875" style="80" customWidth="1"/>
    <col min="6748" max="6748" width="9.109375" style="80" customWidth="1"/>
    <col min="6749" max="6749" width="1.109375" style="80" customWidth="1"/>
    <col min="6750" max="6750" width="0.88671875" style="80" customWidth="1"/>
    <col min="6751" max="6751" width="9.5546875" style="80" bestFit="1" customWidth="1"/>
    <col min="6752" max="6753" width="0.88671875" style="80" customWidth="1"/>
    <col min="6754" max="6754" width="9.88671875" style="80" customWidth="1"/>
    <col min="6755" max="6755" width="1.109375" style="80" customWidth="1"/>
    <col min="6756" max="6756" width="8.5546875" style="80" customWidth="1"/>
    <col min="6757" max="6757" width="14.5546875" style="80" customWidth="1"/>
    <col min="6758" max="6758" width="10" style="80" customWidth="1"/>
    <col min="6759" max="6759" width="7.88671875" style="80" bestFit="1" customWidth="1"/>
    <col min="6760" max="6760" width="9.88671875" style="80" customWidth="1"/>
    <col min="6761" max="6977" width="8.88671875" style="80"/>
    <col min="6978" max="6978" width="38.44140625" style="80" customWidth="1"/>
    <col min="6979" max="6979" width="8.5546875" style="80" customWidth="1"/>
    <col min="6980" max="6980" width="1.109375" style="80" customWidth="1"/>
    <col min="6981" max="6981" width="8.88671875" style="80" customWidth="1"/>
    <col min="6982" max="6982" width="1.109375" style="80" customWidth="1"/>
    <col min="6983" max="6983" width="9.109375" style="80" customWidth="1"/>
    <col min="6984" max="6984" width="1.109375" style="80" customWidth="1"/>
    <col min="6985" max="6985" width="10" style="80" customWidth="1"/>
    <col min="6986" max="6986" width="1.109375" style="80" customWidth="1"/>
    <col min="6987" max="6987" width="9.109375" style="80" customWidth="1"/>
    <col min="6988" max="6988" width="1.109375" style="80" customWidth="1"/>
    <col min="6989" max="6989" width="11.109375" style="80" customWidth="1"/>
    <col min="6990" max="6990" width="1.109375" style="80" customWidth="1"/>
    <col min="6991" max="6991" width="9.109375" style="80" customWidth="1"/>
    <col min="6992" max="6992" width="1.88671875" style="80" customWidth="1"/>
    <col min="6993" max="6993" width="11" style="80" customWidth="1"/>
    <col min="6994" max="6994" width="1.109375" style="80" customWidth="1"/>
    <col min="6995" max="6995" width="10.88671875" style="80" customWidth="1"/>
    <col min="6996" max="6996" width="1.109375" style="80" customWidth="1"/>
    <col min="6997" max="6997" width="10" style="80" customWidth="1"/>
    <col min="6998" max="6998" width="1.109375" style="80" customWidth="1"/>
    <col min="6999" max="6999" width="9.109375" style="80" customWidth="1"/>
    <col min="7000" max="7000" width="1.109375" style="80" customWidth="1"/>
    <col min="7001" max="7001" width="7.88671875" style="80" customWidth="1"/>
    <col min="7002" max="7002" width="1.109375" style="80" customWidth="1"/>
    <col min="7003" max="7003" width="0.88671875" style="80" customWidth="1"/>
    <col min="7004" max="7004" width="9.109375" style="80" customWidth="1"/>
    <col min="7005" max="7005" width="1.109375" style="80" customWidth="1"/>
    <col min="7006" max="7006" width="0.88671875" style="80" customWidth="1"/>
    <col min="7007" max="7007" width="9.5546875" style="80" bestFit="1" customWidth="1"/>
    <col min="7008" max="7009" width="0.88671875" style="80" customWidth="1"/>
    <col min="7010" max="7010" width="9.88671875" style="80" customWidth="1"/>
    <col min="7011" max="7011" width="1.109375" style="80" customWidth="1"/>
    <col min="7012" max="7012" width="8.5546875" style="80" customWidth="1"/>
    <col min="7013" max="7013" width="14.5546875" style="80" customWidth="1"/>
    <col min="7014" max="7014" width="10" style="80" customWidth="1"/>
    <col min="7015" max="7015" width="7.88671875" style="80" bestFit="1" customWidth="1"/>
    <col min="7016" max="7016" width="9.88671875" style="80" customWidth="1"/>
    <col min="7017" max="7233" width="8.88671875" style="80"/>
    <col min="7234" max="7234" width="38.44140625" style="80" customWidth="1"/>
    <col min="7235" max="7235" width="8.5546875" style="80" customWidth="1"/>
    <col min="7236" max="7236" width="1.109375" style="80" customWidth="1"/>
    <col min="7237" max="7237" width="8.88671875" style="80" customWidth="1"/>
    <col min="7238" max="7238" width="1.109375" style="80" customWidth="1"/>
    <col min="7239" max="7239" width="9.109375" style="80" customWidth="1"/>
    <col min="7240" max="7240" width="1.109375" style="80" customWidth="1"/>
    <col min="7241" max="7241" width="10" style="80" customWidth="1"/>
    <col min="7242" max="7242" width="1.109375" style="80" customWidth="1"/>
    <col min="7243" max="7243" width="9.109375" style="80" customWidth="1"/>
    <col min="7244" max="7244" width="1.109375" style="80" customWidth="1"/>
    <col min="7245" max="7245" width="11.109375" style="80" customWidth="1"/>
    <col min="7246" max="7246" width="1.109375" style="80" customWidth="1"/>
    <col min="7247" max="7247" width="9.109375" style="80" customWidth="1"/>
    <col min="7248" max="7248" width="1.88671875" style="80" customWidth="1"/>
    <col min="7249" max="7249" width="11" style="80" customWidth="1"/>
    <col min="7250" max="7250" width="1.109375" style="80" customWidth="1"/>
    <col min="7251" max="7251" width="10.88671875" style="80" customWidth="1"/>
    <col min="7252" max="7252" width="1.109375" style="80" customWidth="1"/>
    <col min="7253" max="7253" width="10" style="80" customWidth="1"/>
    <col min="7254" max="7254" width="1.109375" style="80" customWidth="1"/>
    <col min="7255" max="7255" width="9.109375" style="80" customWidth="1"/>
    <col min="7256" max="7256" width="1.109375" style="80" customWidth="1"/>
    <col min="7257" max="7257" width="7.88671875" style="80" customWidth="1"/>
    <col min="7258" max="7258" width="1.109375" style="80" customWidth="1"/>
    <col min="7259" max="7259" width="0.88671875" style="80" customWidth="1"/>
    <col min="7260" max="7260" width="9.109375" style="80" customWidth="1"/>
    <col min="7261" max="7261" width="1.109375" style="80" customWidth="1"/>
    <col min="7262" max="7262" width="0.88671875" style="80" customWidth="1"/>
    <col min="7263" max="7263" width="9.5546875" style="80" bestFit="1" customWidth="1"/>
    <col min="7264" max="7265" width="0.88671875" style="80" customWidth="1"/>
    <col min="7266" max="7266" width="9.88671875" style="80" customWidth="1"/>
    <col min="7267" max="7267" width="1.109375" style="80" customWidth="1"/>
    <col min="7268" max="7268" width="8.5546875" style="80" customWidth="1"/>
    <col min="7269" max="7269" width="14.5546875" style="80" customWidth="1"/>
    <col min="7270" max="7270" width="10" style="80" customWidth="1"/>
    <col min="7271" max="7271" width="7.88671875" style="80" bestFit="1" customWidth="1"/>
    <col min="7272" max="7272" width="9.88671875" style="80" customWidth="1"/>
    <col min="7273" max="7489" width="8.88671875" style="80"/>
    <col min="7490" max="7490" width="38.44140625" style="80" customWidth="1"/>
    <col min="7491" max="7491" width="8.5546875" style="80" customWidth="1"/>
    <col min="7492" max="7492" width="1.109375" style="80" customWidth="1"/>
    <col min="7493" max="7493" width="8.88671875" style="80" customWidth="1"/>
    <col min="7494" max="7494" width="1.109375" style="80" customWidth="1"/>
    <col min="7495" max="7495" width="9.109375" style="80" customWidth="1"/>
    <col min="7496" max="7496" width="1.109375" style="80" customWidth="1"/>
    <col min="7497" max="7497" width="10" style="80" customWidth="1"/>
    <col min="7498" max="7498" width="1.109375" style="80" customWidth="1"/>
    <col min="7499" max="7499" width="9.109375" style="80" customWidth="1"/>
    <col min="7500" max="7500" width="1.109375" style="80" customWidth="1"/>
    <col min="7501" max="7501" width="11.109375" style="80" customWidth="1"/>
    <col min="7502" max="7502" width="1.109375" style="80" customWidth="1"/>
    <col min="7503" max="7503" width="9.109375" style="80" customWidth="1"/>
    <col min="7504" max="7504" width="1.88671875" style="80" customWidth="1"/>
    <col min="7505" max="7505" width="11" style="80" customWidth="1"/>
    <col min="7506" max="7506" width="1.109375" style="80" customWidth="1"/>
    <col min="7507" max="7507" width="10.88671875" style="80" customWidth="1"/>
    <col min="7508" max="7508" width="1.109375" style="80" customWidth="1"/>
    <col min="7509" max="7509" width="10" style="80" customWidth="1"/>
    <col min="7510" max="7510" width="1.109375" style="80" customWidth="1"/>
    <col min="7511" max="7511" width="9.109375" style="80" customWidth="1"/>
    <col min="7512" max="7512" width="1.109375" style="80" customWidth="1"/>
    <col min="7513" max="7513" width="7.88671875" style="80" customWidth="1"/>
    <col min="7514" max="7514" width="1.109375" style="80" customWidth="1"/>
    <col min="7515" max="7515" width="0.88671875" style="80" customWidth="1"/>
    <col min="7516" max="7516" width="9.109375" style="80" customWidth="1"/>
    <col min="7517" max="7517" width="1.109375" style="80" customWidth="1"/>
    <col min="7518" max="7518" width="0.88671875" style="80" customWidth="1"/>
    <col min="7519" max="7519" width="9.5546875" style="80" bestFit="1" customWidth="1"/>
    <col min="7520" max="7521" width="0.88671875" style="80" customWidth="1"/>
    <col min="7522" max="7522" width="9.88671875" style="80" customWidth="1"/>
    <col min="7523" max="7523" width="1.109375" style="80" customWidth="1"/>
    <col min="7524" max="7524" width="8.5546875" style="80" customWidth="1"/>
    <col min="7525" max="7525" width="14.5546875" style="80" customWidth="1"/>
    <col min="7526" max="7526" width="10" style="80" customWidth="1"/>
    <col min="7527" max="7527" width="7.88671875" style="80" bestFit="1" customWidth="1"/>
    <col min="7528" max="7528" width="9.88671875" style="80" customWidth="1"/>
    <col min="7529" max="7745" width="8.88671875" style="80"/>
    <col min="7746" max="7746" width="38.44140625" style="80" customWidth="1"/>
    <col min="7747" max="7747" width="8.5546875" style="80" customWidth="1"/>
    <col min="7748" max="7748" width="1.109375" style="80" customWidth="1"/>
    <col min="7749" max="7749" width="8.88671875" style="80" customWidth="1"/>
    <col min="7750" max="7750" width="1.109375" style="80" customWidth="1"/>
    <col min="7751" max="7751" width="9.109375" style="80" customWidth="1"/>
    <col min="7752" max="7752" width="1.109375" style="80" customWidth="1"/>
    <col min="7753" max="7753" width="10" style="80" customWidth="1"/>
    <col min="7754" max="7754" width="1.109375" style="80" customWidth="1"/>
    <col min="7755" max="7755" width="9.109375" style="80" customWidth="1"/>
    <col min="7756" max="7756" width="1.109375" style="80" customWidth="1"/>
    <col min="7757" max="7757" width="11.109375" style="80" customWidth="1"/>
    <col min="7758" max="7758" width="1.109375" style="80" customWidth="1"/>
    <col min="7759" max="7759" width="9.109375" style="80" customWidth="1"/>
    <col min="7760" max="7760" width="1.88671875" style="80" customWidth="1"/>
    <col min="7761" max="7761" width="11" style="80" customWidth="1"/>
    <col min="7762" max="7762" width="1.109375" style="80" customWidth="1"/>
    <col min="7763" max="7763" width="10.88671875" style="80" customWidth="1"/>
    <col min="7764" max="7764" width="1.109375" style="80" customWidth="1"/>
    <col min="7765" max="7765" width="10" style="80" customWidth="1"/>
    <col min="7766" max="7766" width="1.109375" style="80" customWidth="1"/>
    <col min="7767" max="7767" width="9.109375" style="80" customWidth="1"/>
    <col min="7768" max="7768" width="1.109375" style="80" customWidth="1"/>
    <col min="7769" max="7769" width="7.88671875" style="80" customWidth="1"/>
    <col min="7770" max="7770" width="1.109375" style="80" customWidth="1"/>
    <col min="7771" max="7771" width="0.88671875" style="80" customWidth="1"/>
    <col min="7772" max="7772" width="9.109375" style="80" customWidth="1"/>
    <col min="7773" max="7773" width="1.109375" style="80" customWidth="1"/>
    <col min="7774" max="7774" width="0.88671875" style="80" customWidth="1"/>
    <col min="7775" max="7775" width="9.5546875" style="80" bestFit="1" customWidth="1"/>
    <col min="7776" max="7777" width="0.88671875" style="80" customWidth="1"/>
    <col min="7778" max="7778" width="9.88671875" style="80" customWidth="1"/>
    <col min="7779" max="7779" width="1.109375" style="80" customWidth="1"/>
    <col min="7780" max="7780" width="8.5546875" style="80" customWidth="1"/>
    <col min="7781" max="7781" width="14.5546875" style="80" customWidth="1"/>
    <col min="7782" max="7782" width="10" style="80" customWidth="1"/>
    <col min="7783" max="7783" width="7.88671875" style="80" bestFit="1" customWidth="1"/>
    <col min="7784" max="7784" width="9.88671875" style="80" customWidth="1"/>
    <col min="7785" max="8001" width="8.88671875" style="80"/>
    <col min="8002" max="8002" width="38.44140625" style="80" customWidth="1"/>
    <col min="8003" max="8003" width="8.5546875" style="80" customWidth="1"/>
    <col min="8004" max="8004" width="1.109375" style="80" customWidth="1"/>
    <col min="8005" max="8005" width="8.88671875" style="80" customWidth="1"/>
    <col min="8006" max="8006" width="1.109375" style="80" customWidth="1"/>
    <col min="8007" max="8007" width="9.109375" style="80" customWidth="1"/>
    <col min="8008" max="8008" width="1.109375" style="80" customWidth="1"/>
    <col min="8009" max="8009" width="10" style="80" customWidth="1"/>
    <col min="8010" max="8010" width="1.109375" style="80" customWidth="1"/>
    <col min="8011" max="8011" width="9.109375" style="80" customWidth="1"/>
    <col min="8012" max="8012" width="1.109375" style="80" customWidth="1"/>
    <col min="8013" max="8013" width="11.109375" style="80" customWidth="1"/>
    <col min="8014" max="8014" width="1.109375" style="80" customWidth="1"/>
    <col min="8015" max="8015" width="9.109375" style="80" customWidth="1"/>
    <col min="8016" max="8016" width="1.88671875" style="80" customWidth="1"/>
    <col min="8017" max="8017" width="11" style="80" customWidth="1"/>
    <col min="8018" max="8018" width="1.109375" style="80" customWidth="1"/>
    <col min="8019" max="8019" width="10.88671875" style="80" customWidth="1"/>
    <col min="8020" max="8020" width="1.109375" style="80" customWidth="1"/>
    <col min="8021" max="8021" width="10" style="80" customWidth="1"/>
    <col min="8022" max="8022" width="1.109375" style="80" customWidth="1"/>
    <col min="8023" max="8023" width="9.109375" style="80" customWidth="1"/>
    <col min="8024" max="8024" width="1.109375" style="80" customWidth="1"/>
    <col min="8025" max="8025" width="7.88671875" style="80" customWidth="1"/>
    <col min="8026" max="8026" width="1.109375" style="80" customWidth="1"/>
    <col min="8027" max="8027" width="0.88671875" style="80" customWidth="1"/>
    <col min="8028" max="8028" width="9.109375" style="80" customWidth="1"/>
    <col min="8029" max="8029" width="1.109375" style="80" customWidth="1"/>
    <col min="8030" max="8030" width="0.88671875" style="80" customWidth="1"/>
    <col min="8031" max="8031" width="9.5546875" style="80" bestFit="1" customWidth="1"/>
    <col min="8032" max="8033" width="0.88671875" style="80" customWidth="1"/>
    <col min="8034" max="8034" width="9.88671875" style="80" customWidth="1"/>
    <col min="8035" max="8035" width="1.109375" style="80" customWidth="1"/>
    <col min="8036" max="8036" width="8.5546875" style="80" customWidth="1"/>
    <col min="8037" max="8037" width="14.5546875" style="80" customWidth="1"/>
    <col min="8038" max="8038" width="10" style="80" customWidth="1"/>
    <col min="8039" max="8039" width="7.88671875" style="80" bestFit="1" customWidth="1"/>
    <col min="8040" max="8040" width="9.88671875" style="80" customWidth="1"/>
    <col min="8041" max="8257" width="8.88671875" style="80"/>
    <col min="8258" max="8258" width="38.44140625" style="80" customWidth="1"/>
    <col min="8259" max="8259" width="8.5546875" style="80" customWidth="1"/>
    <col min="8260" max="8260" width="1.109375" style="80" customWidth="1"/>
    <col min="8261" max="8261" width="8.88671875" style="80" customWidth="1"/>
    <col min="8262" max="8262" width="1.109375" style="80" customWidth="1"/>
    <col min="8263" max="8263" width="9.109375" style="80" customWidth="1"/>
    <col min="8264" max="8264" width="1.109375" style="80" customWidth="1"/>
    <col min="8265" max="8265" width="10" style="80" customWidth="1"/>
    <col min="8266" max="8266" width="1.109375" style="80" customWidth="1"/>
    <col min="8267" max="8267" width="9.109375" style="80" customWidth="1"/>
    <col min="8268" max="8268" width="1.109375" style="80" customWidth="1"/>
    <col min="8269" max="8269" width="11.109375" style="80" customWidth="1"/>
    <col min="8270" max="8270" width="1.109375" style="80" customWidth="1"/>
    <col min="8271" max="8271" width="9.109375" style="80" customWidth="1"/>
    <col min="8272" max="8272" width="1.88671875" style="80" customWidth="1"/>
    <col min="8273" max="8273" width="11" style="80" customWidth="1"/>
    <col min="8274" max="8274" width="1.109375" style="80" customWidth="1"/>
    <col min="8275" max="8275" width="10.88671875" style="80" customWidth="1"/>
    <col min="8276" max="8276" width="1.109375" style="80" customWidth="1"/>
    <col min="8277" max="8277" width="10" style="80" customWidth="1"/>
    <col min="8278" max="8278" width="1.109375" style="80" customWidth="1"/>
    <col min="8279" max="8279" width="9.109375" style="80" customWidth="1"/>
    <col min="8280" max="8280" width="1.109375" style="80" customWidth="1"/>
    <col min="8281" max="8281" width="7.88671875" style="80" customWidth="1"/>
    <col min="8282" max="8282" width="1.109375" style="80" customWidth="1"/>
    <col min="8283" max="8283" width="0.88671875" style="80" customWidth="1"/>
    <col min="8284" max="8284" width="9.109375" style="80" customWidth="1"/>
    <col min="8285" max="8285" width="1.109375" style="80" customWidth="1"/>
    <col min="8286" max="8286" width="0.88671875" style="80" customWidth="1"/>
    <col min="8287" max="8287" width="9.5546875" style="80" bestFit="1" customWidth="1"/>
    <col min="8288" max="8289" width="0.88671875" style="80" customWidth="1"/>
    <col min="8290" max="8290" width="9.88671875" style="80" customWidth="1"/>
    <col min="8291" max="8291" width="1.109375" style="80" customWidth="1"/>
    <col min="8292" max="8292" width="8.5546875" style="80" customWidth="1"/>
    <col min="8293" max="8293" width="14.5546875" style="80" customWidth="1"/>
    <col min="8294" max="8294" width="10" style="80" customWidth="1"/>
    <col min="8295" max="8295" width="7.88671875" style="80" bestFit="1" customWidth="1"/>
    <col min="8296" max="8296" width="9.88671875" style="80" customWidth="1"/>
    <col min="8297" max="8513" width="8.88671875" style="80"/>
    <col min="8514" max="8514" width="38.44140625" style="80" customWidth="1"/>
    <col min="8515" max="8515" width="8.5546875" style="80" customWidth="1"/>
    <col min="8516" max="8516" width="1.109375" style="80" customWidth="1"/>
    <col min="8517" max="8517" width="8.88671875" style="80" customWidth="1"/>
    <col min="8518" max="8518" width="1.109375" style="80" customWidth="1"/>
    <col min="8519" max="8519" width="9.109375" style="80" customWidth="1"/>
    <col min="8520" max="8520" width="1.109375" style="80" customWidth="1"/>
    <col min="8521" max="8521" width="10" style="80" customWidth="1"/>
    <col min="8522" max="8522" width="1.109375" style="80" customWidth="1"/>
    <col min="8523" max="8523" width="9.109375" style="80" customWidth="1"/>
    <col min="8524" max="8524" width="1.109375" style="80" customWidth="1"/>
    <col min="8525" max="8525" width="11.109375" style="80" customWidth="1"/>
    <col min="8526" max="8526" width="1.109375" style="80" customWidth="1"/>
    <col min="8527" max="8527" width="9.109375" style="80" customWidth="1"/>
    <col min="8528" max="8528" width="1.88671875" style="80" customWidth="1"/>
    <col min="8529" max="8529" width="11" style="80" customWidth="1"/>
    <col min="8530" max="8530" width="1.109375" style="80" customWidth="1"/>
    <col min="8531" max="8531" width="10.88671875" style="80" customWidth="1"/>
    <col min="8532" max="8532" width="1.109375" style="80" customWidth="1"/>
    <col min="8533" max="8533" width="10" style="80" customWidth="1"/>
    <col min="8534" max="8534" width="1.109375" style="80" customWidth="1"/>
    <col min="8535" max="8535" width="9.109375" style="80" customWidth="1"/>
    <col min="8536" max="8536" width="1.109375" style="80" customWidth="1"/>
    <col min="8537" max="8537" width="7.88671875" style="80" customWidth="1"/>
    <col min="8538" max="8538" width="1.109375" style="80" customWidth="1"/>
    <col min="8539" max="8539" width="0.88671875" style="80" customWidth="1"/>
    <col min="8540" max="8540" width="9.109375" style="80" customWidth="1"/>
    <col min="8541" max="8541" width="1.109375" style="80" customWidth="1"/>
    <col min="8542" max="8542" width="0.88671875" style="80" customWidth="1"/>
    <col min="8543" max="8543" width="9.5546875" style="80" bestFit="1" customWidth="1"/>
    <col min="8544" max="8545" width="0.88671875" style="80" customWidth="1"/>
    <col min="8546" max="8546" width="9.88671875" style="80" customWidth="1"/>
    <col min="8547" max="8547" width="1.109375" style="80" customWidth="1"/>
    <col min="8548" max="8548" width="8.5546875" style="80" customWidth="1"/>
    <col min="8549" max="8549" width="14.5546875" style="80" customWidth="1"/>
    <col min="8550" max="8550" width="10" style="80" customWidth="1"/>
    <col min="8551" max="8551" width="7.88671875" style="80" bestFit="1" customWidth="1"/>
    <col min="8552" max="8552" width="9.88671875" style="80" customWidth="1"/>
    <col min="8553" max="8769" width="8.88671875" style="80"/>
    <col min="8770" max="8770" width="38.44140625" style="80" customWidth="1"/>
    <col min="8771" max="8771" width="8.5546875" style="80" customWidth="1"/>
    <col min="8772" max="8772" width="1.109375" style="80" customWidth="1"/>
    <col min="8773" max="8773" width="8.88671875" style="80" customWidth="1"/>
    <col min="8774" max="8774" width="1.109375" style="80" customWidth="1"/>
    <col min="8775" max="8775" width="9.109375" style="80" customWidth="1"/>
    <col min="8776" max="8776" width="1.109375" style="80" customWidth="1"/>
    <col min="8777" max="8777" width="10" style="80" customWidth="1"/>
    <col min="8778" max="8778" width="1.109375" style="80" customWidth="1"/>
    <col min="8779" max="8779" width="9.109375" style="80" customWidth="1"/>
    <col min="8780" max="8780" width="1.109375" style="80" customWidth="1"/>
    <col min="8781" max="8781" width="11.109375" style="80" customWidth="1"/>
    <col min="8782" max="8782" width="1.109375" style="80" customWidth="1"/>
    <col min="8783" max="8783" width="9.109375" style="80" customWidth="1"/>
    <col min="8784" max="8784" width="1.88671875" style="80" customWidth="1"/>
    <col min="8785" max="8785" width="11" style="80" customWidth="1"/>
    <col min="8786" max="8786" width="1.109375" style="80" customWidth="1"/>
    <col min="8787" max="8787" width="10.88671875" style="80" customWidth="1"/>
    <col min="8788" max="8788" width="1.109375" style="80" customWidth="1"/>
    <col min="8789" max="8789" width="10" style="80" customWidth="1"/>
    <col min="8790" max="8790" width="1.109375" style="80" customWidth="1"/>
    <col min="8791" max="8791" width="9.109375" style="80" customWidth="1"/>
    <col min="8792" max="8792" width="1.109375" style="80" customWidth="1"/>
    <col min="8793" max="8793" width="7.88671875" style="80" customWidth="1"/>
    <col min="8794" max="8794" width="1.109375" style="80" customWidth="1"/>
    <col min="8795" max="8795" width="0.88671875" style="80" customWidth="1"/>
    <col min="8796" max="8796" width="9.109375" style="80" customWidth="1"/>
    <col min="8797" max="8797" width="1.109375" style="80" customWidth="1"/>
    <col min="8798" max="8798" width="0.88671875" style="80" customWidth="1"/>
    <col min="8799" max="8799" width="9.5546875" style="80" bestFit="1" customWidth="1"/>
    <col min="8800" max="8801" width="0.88671875" style="80" customWidth="1"/>
    <col min="8802" max="8802" width="9.88671875" style="80" customWidth="1"/>
    <col min="8803" max="8803" width="1.109375" style="80" customWidth="1"/>
    <col min="8804" max="8804" width="8.5546875" style="80" customWidth="1"/>
    <col min="8805" max="8805" width="14.5546875" style="80" customWidth="1"/>
    <col min="8806" max="8806" width="10" style="80" customWidth="1"/>
    <col min="8807" max="8807" width="7.88671875" style="80" bestFit="1" customWidth="1"/>
    <col min="8808" max="8808" width="9.88671875" style="80" customWidth="1"/>
    <col min="8809" max="9025" width="8.88671875" style="80"/>
    <col min="9026" max="9026" width="38.44140625" style="80" customWidth="1"/>
    <col min="9027" max="9027" width="8.5546875" style="80" customWidth="1"/>
    <col min="9028" max="9028" width="1.109375" style="80" customWidth="1"/>
    <col min="9029" max="9029" width="8.88671875" style="80" customWidth="1"/>
    <col min="9030" max="9030" width="1.109375" style="80" customWidth="1"/>
    <col min="9031" max="9031" width="9.109375" style="80" customWidth="1"/>
    <col min="9032" max="9032" width="1.109375" style="80" customWidth="1"/>
    <col min="9033" max="9033" width="10" style="80" customWidth="1"/>
    <col min="9034" max="9034" width="1.109375" style="80" customWidth="1"/>
    <col min="9035" max="9035" width="9.109375" style="80" customWidth="1"/>
    <col min="9036" max="9036" width="1.109375" style="80" customWidth="1"/>
    <col min="9037" max="9037" width="11.109375" style="80" customWidth="1"/>
    <col min="9038" max="9038" width="1.109375" style="80" customWidth="1"/>
    <col min="9039" max="9039" width="9.109375" style="80" customWidth="1"/>
    <col min="9040" max="9040" width="1.88671875" style="80" customWidth="1"/>
    <col min="9041" max="9041" width="11" style="80" customWidth="1"/>
    <col min="9042" max="9042" width="1.109375" style="80" customWidth="1"/>
    <col min="9043" max="9043" width="10.88671875" style="80" customWidth="1"/>
    <col min="9044" max="9044" width="1.109375" style="80" customWidth="1"/>
    <col min="9045" max="9045" width="10" style="80" customWidth="1"/>
    <col min="9046" max="9046" width="1.109375" style="80" customWidth="1"/>
    <col min="9047" max="9047" width="9.109375" style="80" customWidth="1"/>
    <col min="9048" max="9048" width="1.109375" style="80" customWidth="1"/>
    <col min="9049" max="9049" width="7.88671875" style="80" customWidth="1"/>
    <col min="9050" max="9050" width="1.109375" style="80" customWidth="1"/>
    <col min="9051" max="9051" width="0.88671875" style="80" customWidth="1"/>
    <col min="9052" max="9052" width="9.109375" style="80" customWidth="1"/>
    <col min="9053" max="9053" width="1.109375" style="80" customWidth="1"/>
    <col min="9054" max="9054" width="0.88671875" style="80" customWidth="1"/>
    <col min="9055" max="9055" width="9.5546875" style="80" bestFit="1" customWidth="1"/>
    <col min="9056" max="9057" width="0.88671875" style="80" customWidth="1"/>
    <col min="9058" max="9058" width="9.88671875" style="80" customWidth="1"/>
    <col min="9059" max="9059" width="1.109375" style="80" customWidth="1"/>
    <col min="9060" max="9060" width="8.5546875" style="80" customWidth="1"/>
    <col min="9061" max="9061" width="14.5546875" style="80" customWidth="1"/>
    <col min="9062" max="9062" width="10" style="80" customWidth="1"/>
    <col min="9063" max="9063" width="7.88671875" style="80" bestFit="1" customWidth="1"/>
    <col min="9064" max="9064" width="9.88671875" style="80" customWidth="1"/>
    <col min="9065" max="9281" width="8.88671875" style="80"/>
    <col min="9282" max="9282" width="38.44140625" style="80" customWidth="1"/>
    <col min="9283" max="9283" width="8.5546875" style="80" customWidth="1"/>
    <col min="9284" max="9284" width="1.109375" style="80" customWidth="1"/>
    <col min="9285" max="9285" width="8.88671875" style="80" customWidth="1"/>
    <col min="9286" max="9286" width="1.109375" style="80" customWidth="1"/>
    <col min="9287" max="9287" width="9.109375" style="80" customWidth="1"/>
    <col min="9288" max="9288" width="1.109375" style="80" customWidth="1"/>
    <col min="9289" max="9289" width="10" style="80" customWidth="1"/>
    <col min="9290" max="9290" width="1.109375" style="80" customWidth="1"/>
    <col min="9291" max="9291" width="9.109375" style="80" customWidth="1"/>
    <col min="9292" max="9292" width="1.109375" style="80" customWidth="1"/>
    <col min="9293" max="9293" width="11.109375" style="80" customWidth="1"/>
    <col min="9294" max="9294" width="1.109375" style="80" customWidth="1"/>
    <col min="9295" max="9295" width="9.109375" style="80" customWidth="1"/>
    <col min="9296" max="9296" width="1.88671875" style="80" customWidth="1"/>
    <col min="9297" max="9297" width="11" style="80" customWidth="1"/>
    <col min="9298" max="9298" width="1.109375" style="80" customWidth="1"/>
    <col min="9299" max="9299" width="10.88671875" style="80" customWidth="1"/>
    <col min="9300" max="9300" width="1.109375" style="80" customWidth="1"/>
    <col min="9301" max="9301" width="10" style="80" customWidth="1"/>
    <col min="9302" max="9302" width="1.109375" style="80" customWidth="1"/>
    <col min="9303" max="9303" width="9.109375" style="80" customWidth="1"/>
    <col min="9304" max="9304" width="1.109375" style="80" customWidth="1"/>
    <col min="9305" max="9305" width="7.88671875" style="80" customWidth="1"/>
    <col min="9306" max="9306" width="1.109375" style="80" customWidth="1"/>
    <col min="9307" max="9307" width="0.88671875" style="80" customWidth="1"/>
    <col min="9308" max="9308" width="9.109375" style="80" customWidth="1"/>
    <col min="9309" max="9309" width="1.109375" style="80" customWidth="1"/>
    <col min="9310" max="9310" width="0.88671875" style="80" customWidth="1"/>
    <col min="9311" max="9311" width="9.5546875" style="80" bestFit="1" customWidth="1"/>
    <col min="9312" max="9313" width="0.88671875" style="80" customWidth="1"/>
    <col min="9314" max="9314" width="9.88671875" style="80" customWidth="1"/>
    <col min="9315" max="9315" width="1.109375" style="80" customWidth="1"/>
    <col min="9316" max="9316" width="8.5546875" style="80" customWidth="1"/>
    <col min="9317" max="9317" width="14.5546875" style="80" customWidth="1"/>
    <col min="9318" max="9318" width="10" style="80" customWidth="1"/>
    <col min="9319" max="9319" width="7.88671875" style="80" bestFit="1" customWidth="1"/>
    <col min="9320" max="9320" width="9.88671875" style="80" customWidth="1"/>
    <col min="9321" max="9537" width="8.88671875" style="80"/>
    <col min="9538" max="9538" width="38.44140625" style="80" customWidth="1"/>
    <col min="9539" max="9539" width="8.5546875" style="80" customWidth="1"/>
    <col min="9540" max="9540" width="1.109375" style="80" customWidth="1"/>
    <col min="9541" max="9541" width="8.88671875" style="80" customWidth="1"/>
    <col min="9542" max="9542" width="1.109375" style="80" customWidth="1"/>
    <col min="9543" max="9543" width="9.109375" style="80" customWidth="1"/>
    <col min="9544" max="9544" width="1.109375" style="80" customWidth="1"/>
    <col min="9545" max="9545" width="10" style="80" customWidth="1"/>
    <col min="9546" max="9546" width="1.109375" style="80" customWidth="1"/>
    <col min="9547" max="9547" width="9.109375" style="80" customWidth="1"/>
    <col min="9548" max="9548" width="1.109375" style="80" customWidth="1"/>
    <col min="9549" max="9549" width="11.109375" style="80" customWidth="1"/>
    <col min="9550" max="9550" width="1.109375" style="80" customWidth="1"/>
    <col min="9551" max="9551" width="9.109375" style="80" customWidth="1"/>
    <col min="9552" max="9552" width="1.88671875" style="80" customWidth="1"/>
    <col min="9553" max="9553" width="11" style="80" customWidth="1"/>
    <col min="9554" max="9554" width="1.109375" style="80" customWidth="1"/>
    <col min="9555" max="9555" width="10.88671875" style="80" customWidth="1"/>
    <col min="9556" max="9556" width="1.109375" style="80" customWidth="1"/>
    <col min="9557" max="9557" width="10" style="80" customWidth="1"/>
    <col min="9558" max="9558" width="1.109375" style="80" customWidth="1"/>
    <col min="9559" max="9559" width="9.109375" style="80" customWidth="1"/>
    <col min="9560" max="9560" width="1.109375" style="80" customWidth="1"/>
    <col min="9561" max="9561" width="7.88671875" style="80" customWidth="1"/>
    <col min="9562" max="9562" width="1.109375" style="80" customWidth="1"/>
    <col min="9563" max="9563" width="0.88671875" style="80" customWidth="1"/>
    <col min="9564" max="9564" width="9.109375" style="80" customWidth="1"/>
    <col min="9565" max="9565" width="1.109375" style="80" customWidth="1"/>
    <col min="9566" max="9566" width="0.88671875" style="80" customWidth="1"/>
    <col min="9567" max="9567" width="9.5546875" style="80" bestFit="1" customWidth="1"/>
    <col min="9568" max="9569" width="0.88671875" style="80" customWidth="1"/>
    <col min="9570" max="9570" width="9.88671875" style="80" customWidth="1"/>
    <col min="9571" max="9571" width="1.109375" style="80" customWidth="1"/>
    <col min="9572" max="9572" width="8.5546875" style="80" customWidth="1"/>
    <col min="9573" max="9573" width="14.5546875" style="80" customWidth="1"/>
    <col min="9574" max="9574" width="10" style="80" customWidth="1"/>
    <col min="9575" max="9575" width="7.88671875" style="80" bestFit="1" customWidth="1"/>
    <col min="9576" max="9576" width="9.88671875" style="80" customWidth="1"/>
    <col min="9577" max="9793" width="8.88671875" style="80"/>
    <col min="9794" max="9794" width="38.44140625" style="80" customWidth="1"/>
    <col min="9795" max="9795" width="8.5546875" style="80" customWidth="1"/>
    <col min="9796" max="9796" width="1.109375" style="80" customWidth="1"/>
    <col min="9797" max="9797" width="8.88671875" style="80" customWidth="1"/>
    <col min="9798" max="9798" width="1.109375" style="80" customWidth="1"/>
    <col min="9799" max="9799" width="9.109375" style="80" customWidth="1"/>
    <col min="9800" max="9800" width="1.109375" style="80" customWidth="1"/>
    <col min="9801" max="9801" width="10" style="80" customWidth="1"/>
    <col min="9802" max="9802" width="1.109375" style="80" customWidth="1"/>
    <col min="9803" max="9803" width="9.109375" style="80" customWidth="1"/>
    <col min="9804" max="9804" width="1.109375" style="80" customWidth="1"/>
    <col min="9805" max="9805" width="11.109375" style="80" customWidth="1"/>
    <col min="9806" max="9806" width="1.109375" style="80" customWidth="1"/>
    <col min="9807" max="9807" width="9.109375" style="80" customWidth="1"/>
    <col min="9808" max="9808" width="1.88671875" style="80" customWidth="1"/>
    <col min="9809" max="9809" width="11" style="80" customWidth="1"/>
    <col min="9810" max="9810" width="1.109375" style="80" customWidth="1"/>
    <col min="9811" max="9811" width="10.88671875" style="80" customWidth="1"/>
    <col min="9812" max="9812" width="1.109375" style="80" customWidth="1"/>
    <col min="9813" max="9813" width="10" style="80" customWidth="1"/>
    <col min="9814" max="9814" width="1.109375" style="80" customWidth="1"/>
    <col min="9815" max="9815" width="9.109375" style="80" customWidth="1"/>
    <col min="9816" max="9816" width="1.109375" style="80" customWidth="1"/>
    <col min="9817" max="9817" width="7.88671875" style="80" customWidth="1"/>
    <col min="9818" max="9818" width="1.109375" style="80" customWidth="1"/>
    <col min="9819" max="9819" width="0.88671875" style="80" customWidth="1"/>
    <col min="9820" max="9820" width="9.109375" style="80" customWidth="1"/>
    <col min="9821" max="9821" width="1.109375" style="80" customWidth="1"/>
    <col min="9822" max="9822" width="0.88671875" style="80" customWidth="1"/>
    <col min="9823" max="9823" width="9.5546875" style="80" bestFit="1" customWidth="1"/>
    <col min="9824" max="9825" width="0.88671875" style="80" customWidth="1"/>
    <col min="9826" max="9826" width="9.88671875" style="80" customWidth="1"/>
    <col min="9827" max="9827" width="1.109375" style="80" customWidth="1"/>
    <col min="9828" max="9828" width="8.5546875" style="80" customWidth="1"/>
    <col min="9829" max="9829" width="14.5546875" style="80" customWidth="1"/>
    <col min="9830" max="9830" width="10" style="80" customWidth="1"/>
    <col min="9831" max="9831" width="7.88671875" style="80" bestFit="1" customWidth="1"/>
    <col min="9832" max="9832" width="9.88671875" style="80" customWidth="1"/>
    <col min="9833" max="10049" width="8.88671875" style="80"/>
    <col min="10050" max="10050" width="38.44140625" style="80" customWidth="1"/>
    <col min="10051" max="10051" width="8.5546875" style="80" customWidth="1"/>
    <col min="10052" max="10052" width="1.109375" style="80" customWidth="1"/>
    <col min="10053" max="10053" width="8.88671875" style="80" customWidth="1"/>
    <col min="10054" max="10054" width="1.109375" style="80" customWidth="1"/>
    <col min="10055" max="10055" width="9.109375" style="80" customWidth="1"/>
    <col min="10056" max="10056" width="1.109375" style="80" customWidth="1"/>
    <col min="10057" max="10057" width="10" style="80" customWidth="1"/>
    <col min="10058" max="10058" width="1.109375" style="80" customWidth="1"/>
    <col min="10059" max="10059" width="9.109375" style="80" customWidth="1"/>
    <col min="10060" max="10060" width="1.109375" style="80" customWidth="1"/>
    <col min="10061" max="10061" width="11.109375" style="80" customWidth="1"/>
    <col min="10062" max="10062" width="1.109375" style="80" customWidth="1"/>
    <col min="10063" max="10063" width="9.109375" style="80" customWidth="1"/>
    <col min="10064" max="10064" width="1.88671875" style="80" customWidth="1"/>
    <col min="10065" max="10065" width="11" style="80" customWidth="1"/>
    <col min="10066" max="10066" width="1.109375" style="80" customWidth="1"/>
    <col min="10067" max="10067" width="10.88671875" style="80" customWidth="1"/>
    <col min="10068" max="10068" width="1.109375" style="80" customWidth="1"/>
    <col min="10069" max="10069" width="10" style="80" customWidth="1"/>
    <col min="10070" max="10070" width="1.109375" style="80" customWidth="1"/>
    <col min="10071" max="10071" width="9.109375" style="80" customWidth="1"/>
    <col min="10072" max="10072" width="1.109375" style="80" customWidth="1"/>
    <col min="10073" max="10073" width="7.88671875" style="80" customWidth="1"/>
    <col min="10074" max="10074" width="1.109375" style="80" customWidth="1"/>
    <col min="10075" max="10075" width="0.88671875" style="80" customWidth="1"/>
    <col min="10076" max="10076" width="9.109375" style="80" customWidth="1"/>
    <col min="10077" max="10077" width="1.109375" style="80" customWidth="1"/>
    <col min="10078" max="10078" width="0.88671875" style="80" customWidth="1"/>
    <col min="10079" max="10079" width="9.5546875" style="80" bestFit="1" customWidth="1"/>
    <col min="10080" max="10081" width="0.88671875" style="80" customWidth="1"/>
    <col min="10082" max="10082" width="9.88671875" style="80" customWidth="1"/>
    <col min="10083" max="10083" width="1.109375" style="80" customWidth="1"/>
    <col min="10084" max="10084" width="8.5546875" style="80" customWidth="1"/>
    <col min="10085" max="10085" width="14.5546875" style="80" customWidth="1"/>
    <col min="10086" max="10086" width="10" style="80" customWidth="1"/>
    <col min="10087" max="10087" width="7.88671875" style="80" bestFit="1" customWidth="1"/>
    <col min="10088" max="10088" width="9.88671875" style="80" customWidth="1"/>
    <col min="10089" max="10305" width="8.88671875" style="80"/>
    <col min="10306" max="10306" width="38.44140625" style="80" customWidth="1"/>
    <col min="10307" max="10307" width="8.5546875" style="80" customWidth="1"/>
    <col min="10308" max="10308" width="1.109375" style="80" customWidth="1"/>
    <col min="10309" max="10309" width="8.88671875" style="80" customWidth="1"/>
    <col min="10310" max="10310" width="1.109375" style="80" customWidth="1"/>
    <col min="10311" max="10311" width="9.109375" style="80" customWidth="1"/>
    <col min="10312" max="10312" width="1.109375" style="80" customWidth="1"/>
    <col min="10313" max="10313" width="10" style="80" customWidth="1"/>
    <col min="10314" max="10314" width="1.109375" style="80" customWidth="1"/>
    <col min="10315" max="10315" width="9.109375" style="80" customWidth="1"/>
    <col min="10316" max="10316" width="1.109375" style="80" customWidth="1"/>
    <col min="10317" max="10317" width="11.109375" style="80" customWidth="1"/>
    <col min="10318" max="10318" width="1.109375" style="80" customWidth="1"/>
    <col min="10319" max="10319" width="9.109375" style="80" customWidth="1"/>
    <col min="10320" max="10320" width="1.88671875" style="80" customWidth="1"/>
    <col min="10321" max="10321" width="11" style="80" customWidth="1"/>
    <col min="10322" max="10322" width="1.109375" style="80" customWidth="1"/>
    <col min="10323" max="10323" width="10.88671875" style="80" customWidth="1"/>
    <col min="10324" max="10324" width="1.109375" style="80" customWidth="1"/>
    <col min="10325" max="10325" width="10" style="80" customWidth="1"/>
    <col min="10326" max="10326" width="1.109375" style="80" customWidth="1"/>
    <col min="10327" max="10327" width="9.109375" style="80" customWidth="1"/>
    <col min="10328" max="10328" width="1.109375" style="80" customWidth="1"/>
    <col min="10329" max="10329" width="7.88671875" style="80" customWidth="1"/>
    <col min="10330" max="10330" width="1.109375" style="80" customWidth="1"/>
    <col min="10331" max="10331" width="0.88671875" style="80" customWidth="1"/>
    <col min="10332" max="10332" width="9.109375" style="80" customWidth="1"/>
    <col min="10333" max="10333" width="1.109375" style="80" customWidth="1"/>
    <col min="10334" max="10334" width="0.88671875" style="80" customWidth="1"/>
    <col min="10335" max="10335" width="9.5546875" style="80" bestFit="1" customWidth="1"/>
    <col min="10336" max="10337" width="0.88671875" style="80" customWidth="1"/>
    <col min="10338" max="10338" width="9.88671875" style="80" customWidth="1"/>
    <col min="10339" max="10339" width="1.109375" style="80" customWidth="1"/>
    <col min="10340" max="10340" width="8.5546875" style="80" customWidth="1"/>
    <col min="10341" max="10341" width="14.5546875" style="80" customWidth="1"/>
    <col min="10342" max="10342" width="10" style="80" customWidth="1"/>
    <col min="10343" max="10343" width="7.88671875" style="80" bestFit="1" customWidth="1"/>
    <col min="10344" max="10344" width="9.88671875" style="80" customWidth="1"/>
    <col min="10345" max="10561" width="8.88671875" style="80"/>
    <col min="10562" max="10562" width="38.44140625" style="80" customWidth="1"/>
    <col min="10563" max="10563" width="8.5546875" style="80" customWidth="1"/>
    <col min="10564" max="10564" width="1.109375" style="80" customWidth="1"/>
    <col min="10565" max="10565" width="8.88671875" style="80" customWidth="1"/>
    <col min="10566" max="10566" width="1.109375" style="80" customWidth="1"/>
    <col min="10567" max="10567" width="9.109375" style="80" customWidth="1"/>
    <col min="10568" max="10568" width="1.109375" style="80" customWidth="1"/>
    <col min="10569" max="10569" width="10" style="80" customWidth="1"/>
    <col min="10570" max="10570" width="1.109375" style="80" customWidth="1"/>
    <col min="10571" max="10571" width="9.109375" style="80" customWidth="1"/>
    <col min="10572" max="10572" width="1.109375" style="80" customWidth="1"/>
    <col min="10573" max="10573" width="11.109375" style="80" customWidth="1"/>
    <col min="10574" max="10574" width="1.109375" style="80" customWidth="1"/>
    <col min="10575" max="10575" width="9.109375" style="80" customWidth="1"/>
    <col min="10576" max="10576" width="1.88671875" style="80" customWidth="1"/>
    <col min="10577" max="10577" width="11" style="80" customWidth="1"/>
    <col min="10578" max="10578" width="1.109375" style="80" customWidth="1"/>
    <col min="10579" max="10579" width="10.88671875" style="80" customWidth="1"/>
    <col min="10580" max="10580" width="1.109375" style="80" customWidth="1"/>
    <col min="10581" max="10581" width="10" style="80" customWidth="1"/>
    <col min="10582" max="10582" width="1.109375" style="80" customWidth="1"/>
    <col min="10583" max="10583" width="9.109375" style="80" customWidth="1"/>
    <col min="10584" max="10584" width="1.109375" style="80" customWidth="1"/>
    <col min="10585" max="10585" width="7.88671875" style="80" customWidth="1"/>
    <col min="10586" max="10586" width="1.109375" style="80" customWidth="1"/>
    <col min="10587" max="10587" width="0.88671875" style="80" customWidth="1"/>
    <col min="10588" max="10588" width="9.109375" style="80" customWidth="1"/>
    <col min="10589" max="10589" width="1.109375" style="80" customWidth="1"/>
    <col min="10590" max="10590" width="0.88671875" style="80" customWidth="1"/>
    <col min="10591" max="10591" width="9.5546875" style="80" bestFit="1" customWidth="1"/>
    <col min="10592" max="10593" width="0.88671875" style="80" customWidth="1"/>
    <col min="10594" max="10594" width="9.88671875" style="80" customWidth="1"/>
    <col min="10595" max="10595" width="1.109375" style="80" customWidth="1"/>
    <col min="10596" max="10596" width="8.5546875" style="80" customWidth="1"/>
    <col min="10597" max="10597" width="14.5546875" style="80" customWidth="1"/>
    <col min="10598" max="10598" width="10" style="80" customWidth="1"/>
    <col min="10599" max="10599" width="7.88671875" style="80" bestFit="1" customWidth="1"/>
    <col min="10600" max="10600" width="9.88671875" style="80" customWidth="1"/>
    <col min="10601" max="10817" width="8.88671875" style="80"/>
    <col min="10818" max="10818" width="38.44140625" style="80" customWidth="1"/>
    <col min="10819" max="10819" width="8.5546875" style="80" customWidth="1"/>
    <col min="10820" max="10820" width="1.109375" style="80" customWidth="1"/>
    <col min="10821" max="10821" width="8.88671875" style="80" customWidth="1"/>
    <col min="10822" max="10822" width="1.109375" style="80" customWidth="1"/>
    <col min="10823" max="10823" width="9.109375" style="80" customWidth="1"/>
    <col min="10824" max="10824" width="1.109375" style="80" customWidth="1"/>
    <col min="10825" max="10825" width="10" style="80" customWidth="1"/>
    <col min="10826" max="10826" width="1.109375" style="80" customWidth="1"/>
    <col min="10827" max="10827" width="9.109375" style="80" customWidth="1"/>
    <col min="10828" max="10828" width="1.109375" style="80" customWidth="1"/>
    <col min="10829" max="10829" width="11.109375" style="80" customWidth="1"/>
    <col min="10830" max="10830" width="1.109375" style="80" customWidth="1"/>
    <col min="10831" max="10831" width="9.109375" style="80" customWidth="1"/>
    <col min="10832" max="10832" width="1.88671875" style="80" customWidth="1"/>
    <col min="10833" max="10833" width="11" style="80" customWidth="1"/>
    <col min="10834" max="10834" width="1.109375" style="80" customWidth="1"/>
    <col min="10835" max="10835" width="10.88671875" style="80" customWidth="1"/>
    <col min="10836" max="10836" width="1.109375" style="80" customWidth="1"/>
    <col min="10837" max="10837" width="10" style="80" customWidth="1"/>
    <col min="10838" max="10838" width="1.109375" style="80" customWidth="1"/>
    <col min="10839" max="10839" width="9.109375" style="80" customWidth="1"/>
    <col min="10840" max="10840" width="1.109375" style="80" customWidth="1"/>
    <col min="10841" max="10841" width="7.88671875" style="80" customWidth="1"/>
    <col min="10842" max="10842" width="1.109375" style="80" customWidth="1"/>
    <col min="10843" max="10843" width="0.88671875" style="80" customWidth="1"/>
    <col min="10844" max="10844" width="9.109375" style="80" customWidth="1"/>
    <col min="10845" max="10845" width="1.109375" style="80" customWidth="1"/>
    <col min="10846" max="10846" width="0.88671875" style="80" customWidth="1"/>
    <col min="10847" max="10847" width="9.5546875" style="80" bestFit="1" customWidth="1"/>
    <col min="10848" max="10849" width="0.88671875" style="80" customWidth="1"/>
    <col min="10850" max="10850" width="9.88671875" style="80" customWidth="1"/>
    <col min="10851" max="10851" width="1.109375" style="80" customWidth="1"/>
    <col min="10852" max="10852" width="8.5546875" style="80" customWidth="1"/>
    <col min="10853" max="10853" width="14.5546875" style="80" customWidth="1"/>
    <col min="10854" max="10854" width="10" style="80" customWidth="1"/>
    <col min="10855" max="10855" width="7.88671875" style="80" bestFit="1" customWidth="1"/>
    <col min="10856" max="10856" width="9.88671875" style="80" customWidth="1"/>
    <col min="10857" max="11073" width="8.88671875" style="80"/>
    <col min="11074" max="11074" width="38.44140625" style="80" customWidth="1"/>
    <col min="11075" max="11075" width="8.5546875" style="80" customWidth="1"/>
    <col min="11076" max="11076" width="1.109375" style="80" customWidth="1"/>
    <col min="11077" max="11077" width="8.88671875" style="80" customWidth="1"/>
    <col min="11078" max="11078" width="1.109375" style="80" customWidth="1"/>
    <col min="11079" max="11079" width="9.109375" style="80" customWidth="1"/>
    <col min="11080" max="11080" width="1.109375" style="80" customWidth="1"/>
    <col min="11081" max="11081" width="10" style="80" customWidth="1"/>
    <col min="11082" max="11082" width="1.109375" style="80" customWidth="1"/>
    <col min="11083" max="11083" width="9.109375" style="80" customWidth="1"/>
    <col min="11084" max="11084" width="1.109375" style="80" customWidth="1"/>
    <col min="11085" max="11085" width="11.109375" style="80" customWidth="1"/>
    <col min="11086" max="11086" width="1.109375" style="80" customWidth="1"/>
    <col min="11087" max="11087" width="9.109375" style="80" customWidth="1"/>
    <col min="11088" max="11088" width="1.88671875" style="80" customWidth="1"/>
    <col min="11089" max="11089" width="11" style="80" customWidth="1"/>
    <col min="11090" max="11090" width="1.109375" style="80" customWidth="1"/>
    <col min="11091" max="11091" width="10.88671875" style="80" customWidth="1"/>
    <col min="11092" max="11092" width="1.109375" style="80" customWidth="1"/>
    <col min="11093" max="11093" width="10" style="80" customWidth="1"/>
    <col min="11094" max="11094" width="1.109375" style="80" customWidth="1"/>
    <col min="11095" max="11095" width="9.109375" style="80" customWidth="1"/>
    <col min="11096" max="11096" width="1.109375" style="80" customWidth="1"/>
    <col min="11097" max="11097" width="7.88671875" style="80" customWidth="1"/>
    <col min="11098" max="11098" width="1.109375" style="80" customWidth="1"/>
    <col min="11099" max="11099" width="0.88671875" style="80" customWidth="1"/>
    <col min="11100" max="11100" width="9.109375" style="80" customWidth="1"/>
    <col min="11101" max="11101" width="1.109375" style="80" customWidth="1"/>
    <col min="11102" max="11102" width="0.88671875" style="80" customWidth="1"/>
    <col min="11103" max="11103" width="9.5546875" style="80" bestFit="1" customWidth="1"/>
    <col min="11104" max="11105" width="0.88671875" style="80" customWidth="1"/>
    <col min="11106" max="11106" width="9.88671875" style="80" customWidth="1"/>
    <col min="11107" max="11107" width="1.109375" style="80" customWidth="1"/>
    <col min="11108" max="11108" width="8.5546875" style="80" customWidth="1"/>
    <col min="11109" max="11109" width="14.5546875" style="80" customWidth="1"/>
    <col min="11110" max="11110" width="10" style="80" customWidth="1"/>
    <col min="11111" max="11111" width="7.88671875" style="80" bestFit="1" customWidth="1"/>
    <col min="11112" max="11112" width="9.88671875" style="80" customWidth="1"/>
    <col min="11113" max="11329" width="8.88671875" style="80"/>
    <col min="11330" max="11330" width="38.44140625" style="80" customWidth="1"/>
    <col min="11331" max="11331" width="8.5546875" style="80" customWidth="1"/>
    <col min="11332" max="11332" width="1.109375" style="80" customWidth="1"/>
    <col min="11333" max="11333" width="8.88671875" style="80" customWidth="1"/>
    <col min="11334" max="11334" width="1.109375" style="80" customWidth="1"/>
    <col min="11335" max="11335" width="9.109375" style="80" customWidth="1"/>
    <col min="11336" max="11336" width="1.109375" style="80" customWidth="1"/>
    <col min="11337" max="11337" width="10" style="80" customWidth="1"/>
    <col min="11338" max="11338" width="1.109375" style="80" customWidth="1"/>
    <col min="11339" max="11339" width="9.109375" style="80" customWidth="1"/>
    <col min="11340" max="11340" width="1.109375" style="80" customWidth="1"/>
    <col min="11341" max="11341" width="11.109375" style="80" customWidth="1"/>
    <col min="11342" max="11342" width="1.109375" style="80" customWidth="1"/>
    <col min="11343" max="11343" width="9.109375" style="80" customWidth="1"/>
    <col min="11344" max="11344" width="1.88671875" style="80" customWidth="1"/>
    <col min="11345" max="11345" width="11" style="80" customWidth="1"/>
    <col min="11346" max="11346" width="1.109375" style="80" customWidth="1"/>
    <col min="11347" max="11347" width="10.88671875" style="80" customWidth="1"/>
    <col min="11348" max="11348" width="1.109375" style="80" customWidth="1"/>
    <col min="11349" max="11349" width="10" style="80" customWidth="1"/>
    <col min="11350" max="11350" width="1.109375" style="80" customWidth="1"/>
    <col min="11351" max="11351" width="9.109375" style="80" customWidth="1"/>
    <col min="11352" max="11352" width="1.109375" style="80" customWidth="1"/>
    <col min="11353" max="11353" width="7.88671875" style="80" customWidth="1"/>
    <col min="11354" max="11354" width="1.109375" style="80" customWidth="1"/>
    <col min="11355" max="11355" width="0.88671875" style="80" customWidth="1"/>
    <col min="11356" max="11356" width="9.109375" style="80" customWidth="1"/>
    <col min="11357" max="11357" width="1.109375" style="80" customWidth="1"/>
    <col min="11358" max="11358" width="0.88671875" style="80" customWidth="1"/>
    <col min="11359" max="11359" width="9.5546875" style="80" bestFit="1" customWidth="1"/>
    <col min="11360" max="11361" width="0.88671875" style="80" customWidth="1"/>
    <col min="11362" max="11362" width="9.88671875" style="80" customWidth="1"/>
    <col min="11363" max="11363" width="1.109375" style="80" customWidth="1"/>
    <col min="11364" max="11364" width="8.5546875" style="80" customWidth="1"/>
    <col min="11365" max="11365" width="14.5546875" style="80" customWidth="1"/>
    <col min="11366" max="11366" width="10" style="80" customWidth="1"/>
    <col min="11367" max="11367" width="7.88671875" style="80" bestFit="1" customWidth="1"/>
    <col min="11368" max="11368" width="9.88671875" style="80" customWidth="1"/>
    <col min="11369" max="11585" width="8.88671875" style="80"/>
    <col min="11586" max="11586" width="38.44140625" style="80" customWidth="1"/>
    <col min="11587" max="11587" width="8.5546875" style="80" customWidth="1"/>
    <col min="11588" max="11588" width="1.109375" style="80" customWidth="1"/>
    <col min="11589" max="11589" width="8.88671875" style="80" customWidth="1"/>
    <col min="11590" max="11590" width="1.109375" style="80" customWidth="1"/>
    <col min="11591" max="11591" width="9.109375" style="80" customWidth="1"/>
    <col min="11592" max="11592" width="1.109375" style="80" customWidth="1"/>
    <col min="11593" max="11593" width="10" style="80" customWidth="1"/>
    <col min="11594" max="11594" width="1.109375" style="80" customWidth="1"/>
    <col min="11595" max="11595" width="9.109375" style="80" customWidth="1"/>
    <col min="11596" max="11596" width="1.109375" style="80" customWidth="1"/>
    <col min="11597" max="11597" width="11.109375" style="80" customWidth="1"/>
    <col min="11598" max="11598" width="1.109375" style="80" customWidth="1"/>
    <col min="11599" max="11599" width="9.109375" style="80" customWidth="1"/>
    <col min="11600" max="11600" width="1.88671875" style="80" customWidth="1"/>
    <col min="11601" max="11601" width="11" style="80" customWidth="1"/>
    <col min="11602" max="11602" width="1.109375" style="80" customWidth="1"/>
    <col min="11603" max="11603" width="10.88671875" style="80" customWidth="1"/>
    <col min="11604" max="11604" width="1.109375" style="80" customWidth="1"/>
    <col min="11605" max="11605" width="10" style="80" customWidth="1"/>
    <col min="11606" max="11606" width="1.109375" style="80" customWidth="1"/>
    <col min="11607" max="11607" width="9.109375" style="80" customWidth="1"/>
    <col min="11608" max="11608" width="1.109375" style="80" customWidth="1"/>
    <col min="11609" max="11609" width="7.88671875" style="80" customWidth="1"/>
    <col min="11610" max="11610" width="1.109375" style="80" customWidth="1"/>
    <col min="11611" max="11611" width="0.88671875" style="80" customWidth="1"/>
    <col min="11612" max="11612" width="9.109375" style="80" customWidth="1"/>
    <col min="11613" max="11613" width="1.109375" style="80" customWidth="1"/>
    <col min="11614" max="11614" width="0.88671875" style="80" customWidth="1"/>
    <col min="11615" max="11615" width="9.5546875" style="80" bestFit="1" customWidth="1"/>
    <col min="11616" max="11617" width="0.88671875" style="80" customWidth="1"/>
    <col min="11618" max="11618" width="9.88671875" style="80" customWidth="1"/>
    <col min="11619" max="11619" width="1.109375" style="80" customWidth="1"/>
    <col min="11620" max="11620" width="8.5546875" style="80" customWidth="1"/>
    <col min="11621" max="11621" width="14.5546875" style="80" customWidth="1"/>
    <col min="11622" max="11622" width="10" style="80" customWidth="1"/>
    <col min="11623" max="11623" width="7.88671875" style="80" bestFit="1" customWidth="1"/>
    <col min="11624" max="11624" width="9.88671875" style="80" customWidth="1"/>
    <col min="11625" max="11841" width="8.88671875" style="80"/>
    <col min="11842" max="11842" width="38.44140625" style="80" customWidth="1"/>
    <col min="11843" max="11843" width="8.5546875" style="80" customWidth="1"/>
    <col min="11844" max="11844" width="1.109375" style="80" customWidth="1"/>
    <col min="11845" max="11845" width="8.88671875" style="80" customWidth="1"/>
    <col min="11846" max="11846" width="1.109375" style="80" customWidth="1"/>
    <col min="11847" max="11847" width="9.109375" style="80" customWidth="1"/>
    <col min="11848" max="11848" width="1.109375" style="80" customWidth="1"/>
    <col min="11849" max="11849" width="10" style="80" customWidth="1"/>
    <col min="11850" max="11850" width="1.109375" style="80" customWidth="1"/>
    <col min="11851" max="11851" width="9.109375" style="80" customWidth="1"/>
    <col min="11852" max="11852" width="1.109375" style="80" customWidth="1"/>
    <col min="11853" max="11853" width="11.109375" style="80" customWidth="1"/>
    <col min="11854" max="11854" width="1.109375" style="80" customWidth="1"/>
    <col min="11855" max="11855" width="9.109375" style="80" customWidth="1"/>
    <col min="11856" max="11856" width="1.88671875" style="80" customWidth="1"/>
    <col min="11857" max="11857" width="11" style="80" customWidth="1"/>
    <col min="11858" max="11858" width="1.109375" style="80" customWidth="1"/>
    <col min="11859" max="11859" width="10.88671875" style="80" customWidth="1"/>
    <col min="11860" max="11860" width="1.109375" style="80" customWidth="1"/>
    <col min="11861" max="11861" width="10" style="80" customWidth="1"/>
    <col min="11862" max="11862" width="1.109375" style="80" customWidth="1"/>
    <col min="11863" max="11863" width="9.109375" style="80" customWidth="1"/>
    <col min="11864" max="11864" width="1.109375" style="80" customWidth="1"/>
    <col min="11865" max="11865" width="7.88671875" style="80" customWidth="1"/>
    <col min="11866" max="11866" width="1.109375" style="80" customWidth="1"/>
    <col min="11867" max="11867" width="0.88671875" style="80" customWidth="1"/>
    <col min="11868" max="11868" width="9.109375" style="80" customWidth="1"/>
    <col min="11869" max="11869" width="1.109375" style="80" customWidth="1"/>
    <col min="11870" max="11870" width="0.88671875" style="80" customWidth="1"/>
    <col min="11871" max="11871" width="9.5546875" style="80" bestFit="1" customWidth="1"/>
    <col min="11872" max="11873" width="0.88671875" style="80" customWidth="1"/>
    <col min="11874" max="11874" width="9.88671875" style="80" customWidth="1"/>
    <col min="11875" max="11875" width="1.109375" style="80" customWidth="1"/>
    <col min="11876" max="11876" width="8.5546875" style="80" customWidth="1"/>
    <col min="11877" max="11877" width="14.5546875" style="80" customWidth="1"/>
    <col min="11878" max="11878" width="10" style="80" customWidth="1"/>
    <col min="11879" max="11879" width="7.88671875" style="80" bestFit="1" customWidth="1"/>
    <col min="11880" max="11880" width="9.88671875" style="80" customWidth="1"/>
    <col min="11881" max="12097" width="8.88671875" style="80"/>
    <col min="12098" max="12098" width="38.44140625" style="80" customWidth="1"/>
    <col min="12099" max="12099" width="8.5546875" style="80" customWidth="1"/>
    <col min="12100" max="12100" width="1.109375" style="80" customWidth="1"/>
    <col min="12101" max="12101" width="8.88671875" style="80" customWidth="1"/>
    <col min="12102" max="12102" width="1.109375" style="80" customWidth="1"/>
    <col min="12103" max="12103" width="9.109375" style="80" customWidth="1"/>
    <col min="12104" max="12104" width="1.109375" style="80" customWidth="1"/>
    <col min="12105" max="12105" width="10" style="80" customWidth="1"/>
    <col min="12106" max="12106" width="1.109375" style="80" customWidth="1"/>
    <col min="12107" max="12107" width="9.109375" style="80" customWidth="1"/>
    <col min="12108" max="12108" width="1.109375" style="80" customWidth="1"/>
    <col min="12109" max="12109" width="11.109375" style="80" customWidth="1"/>
    <col min="12110" max="12110" width="1.109375" style="80" customWidth="1"/>
    <col min="12111" max="12111" width="9.109375" style="80" customWidth="1"/>
    <col min="12112" max="12112" width="1.88671875" style="80" customWidth="1"/>
    <col min="12113" max="12113" width="11" style="80" customWidth="1"/>
    <col min="12114" max="12114" width="1.109375" style="80" customWidth="1"/>
    <col min="12115" max="12115" width="10.88671875" style="80" customWidth="1"/>
    <col min="12116" max="12116" width="1.109375" style="80" customWidth="1"/>
    <col min="12117" max="12117" width="10" style="80" customWidth="1"/>
    <col min="12118" max="12118" width="1.109375" style="80" customWidth="1"/>
    <col min="12119" max="12119" width="9.109375" style="80" customWidth="1"/>
    <col min="12120" max="12120" width="1.109375" style="80" customWidth="1"/>
    <col min="12121" max="12121" width="7.88671875" style="80" customWidth="1"/>
    <col min="12122" max="12122" width="1.109375" style="80" customWidth="1"/>
    <col min="12123" max="12123" width="0.88671875" style="80" customWidth="1"/>
    <col min="12124" max="12124" width="9.109375" style="80" customWidth="1"/>
    <col min="12125" max="12125" width="1.109375" style="80" customWidth="1"/>
    <col min="12126" max="12126" width="0.88671875" style="80" customWidth="1"/>
    <col min="12127" max="12127" width="9.5546875" style="80" bestFit="1" customWidth="1"/>
    <col min="12128" max="12129" width="0.88671875" style="80" customWidth="1"/>
    <col min="12130" max="12130" width="9.88671875" style="80" customWidth="1"/>
    <col min="12131" max="12131" width="1.109375" style="80" customWidth="1"/>
    <col min="12132" max="12132" width="8.5546875" style="80" customWidth="1"/>
    <col min="12133" max="12133" width="14.5546875" style="80" customWidth="1"/>
    <col min="12134" max="12134" width="10" style="80" customWidth="1"/>
    <col min="12135" max="12135" width="7.88671875" style="80" bestFit="1" customWidth="1"/>
    <col min="12136" max="12136" width="9.88671875" style="80" customWidth="1"/>
    <col min="12137" max="12353" width="8.88671875" style="80"/>
    <col min="12354" max="12354" width="38.44140625" style="80" customWidth="1"/>
    <col min="12355" max="12355" width="8.5546875" style="80" customWidth="1"/>
    <col min="12356" max="12356" width="1.109375" style="80" customWidth="1"/>
    <col min="12357" max="12357" width="8.88671875" style="80" customWidth="1"/>
    <col min="12358" max="12358" width="1.109375" style="80" customWidth="1"/>
    <col min="12359" max="12359" width="9.109375" style="80" customWidth="1"/>
    <col min="12360" max="12360" width="1.109375" style="80" customWidth="1"/>
    <col min="12361" max="12361" width="10" style="80" customWidth="1"/>
    <col min="12362" max="12362" width="1.109375" style="80" customWidth="1"/>
    <col min="12363" max="12363" width="9.109375" style="80" customWidth="1"/>
    <col min="12364" max="12364" width="1.109375" style="80" customWidth="1"/>
    <col min="12365" max="12365" width="11.109375" style="80" customWidth="1"/>
    <col min="12366" max="12366" width="1.109375" style="80" customWidth="1"/>
    <col min="12367" max="12367" width="9.109375" style="80" customWidth="1"/>
    <col min="12368" max="12368" width="1.88671875" style="80" customWidth="1"/>
    <col min="12369" max="12369" width="11" style="80" customWidth="1"/>
    <col min="12370" max="12370" width="1.109375" style="80" customWidth="1"/>
    <col min="12371" max="12371" width="10.88671875" style="80" customWidth="1"/>
    <col min="12372" max="12372" width="1.109375" style="80" customWidth="1"/>
    <col min="12373" max="12373" width="10" style="80" customWidth="1"/>
    <col min="12374" max="12374" width="1.109375" style="80" customWidth="1"/>
    <col min="12375" max="12375" width="9.109375" style="80" customWidth="1"/>
    <col min="12376" max="12376" width="1.109375" style="80" customWidth="1"/>
    <col min="12377" max="12377" width="7.88671875" style="80" customWidth="1"/>
    <col min="12378" max="12378" width="1.109375" style="80" customWidth="1"/>
    <col min="12379" max="12379" width="0.88671875" style="80" customWidth="1"/>
    <col min="12380" max="12380" width="9.109375" style="80" customWidth="1"/>
    <col min="12381" max="12381" width="1.109375" style="80" customWidth="1"/>
    <col min="12382" max="12382" width="0.88671875" style="80" customWidth="1"/>
    <col min="12383" max="12383" width="9.5546875" style="80" bestFit="1" customWidth="1"/>
    <col min="12384" max="12385" width="0.88671875" style="80" customWidth="1"/>
    <col min="12386" max="12386" width="9.88671875" style="80" customWidth="1"/>
    <col min="12387" max="12387" width="1.109375" style="80" customWidth="1"/>
    <col min="12388" max="12388" width="8.5546875" style="80" customWidth="1"/>
    <col min="12389" max="12389" width="14.5546875" style="80" customWidth="1"/>
    <col min="12390" max="12390" width="10" style="80" customWidth="1"/>
    <col min="12391" max="12391" width="7.88671875" style="80" bestFit="1" customWidth="1"/>
    <col min="12392" max="12392" width="9.88671875" style="80" customWidth="1"/>
    <col min="12393" max="12609" width="8.88671875" style="80"/>
    <col min="12610" max="12610" width="38.44140625" style="80" customWidth="1"/>
    <col min="12611" max="12611" width="8.5546875" style="80" customWidth="1"/>
    <col min="12612" max="12612" width="1.109375" style="80" customWidth="1"/>
    <col min="12613" max="12613" width="8.88671875" style="80" customWidth="1"/>
    <col min="12614" max="12614" width="1.109375" style="80" customWidth="1"/>
    <col min="12615" max="12615" width="9.109375" style="80" customWidth="1"/>
    <col min="12616" max="12616" width="1.109375" style="80" customWidth="1"/>
    <col min="12617" max="12617" width="10" style="80" customWidth="1"/>
    <col min="12618" max="12618" width="1.109375" style="80" customWidth="1"/>
    <col min="12619" max="12619" width="9.109375" style="80" customWidth="1"/>
    <col min="12620" max="12620" width="1.109375" style="80" customWidth="1"/>
    <col min="12621" max="12621" width="11.109375" style="80" customWidth="1"/>
    <col min="12622" max="12622" width="1.109375" style="80" customWidth="1"/>
    <col min="12623" max="12623" width="9.109375" style="80" customWidth="1"/>
    <col min="12624" max="12624" width="1.88671875" style="80" customWidth="1"/>
    <col min="12625" max="12625" width="11" style="80" customWidth="1"/>
    <col min="12626" max="12626" width="1.109375" style="80" customWidth="1"/>
    <col min="12627" max="12627" width="10.88671875" style="80" customWidth="1"/>
    <col min="12628" max="12628" width="1.109375" style="80" customWidth="1"/>
    <col min="12629" max="12629" width="10" style="80" customWidth="1"/>
    <col min="12630" max="12630" width="1.109375" style="80" customWidth="1"/>
    <col min="12631" max="12631" width="9.109375" style="80" customWidth="1"/>
    <col min="12632" max="12632" width="1.109375" style="80" customWidth="1"/>
    <col min="12633" max="12633" width="7.88671875" style="80" customWidth="1"/>
    <col min="12634" max="12634" width="1.109375" style="80" customWidth="1"/>
    <col min="12635" max="12635" width="0.88671875" style="80" customWidth="1"/>
    <col min="12636" max="12636" width="9.109375" style="80" customWidth="1"/>
    <col min="12637" max="12637" width="1.109375" style="80" customWidth="1"/>
    <col min="12638" max="12638" width="0.88671875" style="80" customWidth="1"/>
    <col min="12639" max="12639" width="9.5546875" style="80" bestFit="1" customWidth="1"/>
    <col min="12640" max="12641" width="0.88671875" style="80" customWidth="1"/>
    <col min="12642" max="12642" width="9.88671875" style="80" customWidth="1"/>
    <col min="12643" max="12643" width="1.109375" style="80" customWidth="1"/>
    <col min="12644" max="12644" width="8.5546875" style="80" customWidth="1"/>
    <col min="12645" max="12645" width="14.5546875" style="80" customWidth="1"/>
    <col min="12646" max="12646" width="10" style="80" customWidth="1"/>
    <col min="12647" max="12647" width="7.88671875" style="80" bestFit="1" customWidth="1"/>
    <col min="12648" max="12648" width="9.88671875" style="80" customWidth="1"/>
    <col min="12649" max="12865" width="8.88671875" style="80"/>
    <col min="12866" max="12866" width="38.44140625" style="80" customWidth="1"/>
    <col min="12867" max="12867" width="8.5546875" style="80" customWidth="1"/>
    <col min="12868" max="12868" width="1.109375" style="80" customWidth="1"/>
    <col min="12869" max="12869" width="8.88671875" style="80" customWidth="1"/>
    <col min="12870" max="12870" width="1.109375" style="80" customWidth="1"/>
    <col min="12871" max="12871" width="9.109375" style="80" customWidth="1"/>
    <col min="12872" max="12872" width="1.109375" style="80" customWidth="1"/>
    <col min="12873" max="12873" width="10" style="80" customWidth="1"/>
    <col min="12874" max="12874" width="1.109375" style="80" customWidth="1"/>
    <col min="12875" max="12875" width="9.109375" style="80" customWidth="1"/>
    <col min="12876" max="12876" width="1.109375" style="80" customWidth="1"/>
    <col min="12877" max="12877" width="11.109375" style="80" customWidth="1"/>
    <col min="12878" max="12878" width="1.109375" style="80" customWidth="1"/>
    <col min="12879" max="12879" width="9.109375" style="80" customWidth="1"/>
    <col min="12880" max="12880" width="1.88671875" style="80" customWidth="1"/>
    <col min="12881" max="12881" width="11" style="80" customWidth="1"/>
    <col min="12882" max="12882" width="1.109375" style="80" customWidth="1"/>
    <col min="12883" max="12883" width="10.88671875" style="80" customWidth="1"/>
    <col min="12884" max="12884" width="1.109375" style="80" customWidth="1"/>
    <col min="12885" max="12885" width="10" style="80" customWidth="1"/>
    <col min="12886" max="12886" width="1.109375" style="80" customWidth="1"/>
    <col min="12887" max="12887" width="9.109375" style="80" customWidth="1"/>
    <col min="12888" max="12888" width="1.109375" style="80" customWidth="1"/>
    <col min="12889" max="12889" width="7.88671875" style="80" customWidth="1"/>
    <col min="12890" max="12890" width="1.109375" style="80" customWidth="1"/>
    <col min="12891" max="12891" width="0.88671875" style="80" customWidth="1"/>
    <col min="12892" max="12892" width="9.109375" style="80" customWidth="1"/>
    <col min="12893" max="12893" width="1.109375" style="80" customWidth="1"/>
    <col min="12894" max="12894" width="0.88671875" style="80" customWidth="1"/>
    <col min="12895" max="12895" width="9.5546875" style="80" bestFit="1" customWidth="1"/>
    <col min="12896" max="12897" width="0.88671875" style="80" customWidth="1"/>
    <col min="12898" max="12898" width="9.88671875" style="80" customWidth="1"/>
    <col min="12899" max="12899" width="1.109375" style="80" customWidth="1"/>
    <col min="12900" max="12900" width="8.5546875" style="80" customWidth="1"/>
    <col min="12901" max="12901" width="14.5546875" style="80" customWidth="1"/>
    <col min="12902" max="12902" width="10" style="80" customWidth="1"/>
    <col min="12903" max="12903" width="7.88671875" style="80" bestFit="1" customWidth="1"/>
    <col min="12904" max="12904" width="9.88671875" style="80" customWidth="1"/>
    <col min="12905" max="13121" width="8.88671875" style="80"/>
    <col min="13122" max="13122" width="38.44140625" style="80" customWidth="1"/>
    <col min="13123" max="13123" width="8.5546875" style="80" customWidth="1"/>
    <col min="13124" max="13124" width="1.109375" style="80" customWidth="1"/>
    <col min="13125" max="13125" width="8.88671875" style="80" customWidth="1"/>
    <col min="13126" max="13126" width="1.109375" style="80" customWidth="1"/>
    <col min="13127" max="13127" width="9.109375" style="80" customWidth="1"/>
    <col min="13128" max="13128" width="1.109375" style="80" customWidth="1"/>
    <col min="13129" max="13129" width="10" style="80" customWidth="1"/>
    <col min="13130" max="13130" width="1.109375" style="80" customWidth="1"/>
    <col min="13131" max="13131" width="9.109375" style="80" customWidth="1"/>
    <col min="13132" max="13132" width="1.109375" style="80" customWidth="1"/>
    <col min="13133" max="13133" width="11.109375" style="80" customWidth="1"/>
    <col min="13134" max="13134" width="1.109375" style="80" customWidth="1"/>
    <col min="13135" max="13135" width="9.109375" style="80" customWidth="1"/>
    <col min="13136" max="13136" width="1.88671875" style="80" customWidth="1"/>
    <col min="13137" max="13137" width="11" style="80" customWidth="1"/>
    <col min="13138" max="13138" width="1.109375" style="80" customWidth="1"/>
    <col min="13139" max="13139" width="10.88671875" style="80" customWidth="1"/>
    <col min="13140" max="13140" width="1.109375" style="80" customWidth="1"/>
    <col min="13141" max="13141" width="10" style="80" customWidth="1"/>
    <col min="13142" max="13142" width="1.109375" style="80" customWidth="1"/>
    <col min="13143" max="13143" width="9.109375" style="80" customWidth="1"/>
    <col min="13144" max="13144" width="1.109375" style="80" customWidth="1"/>
    <col min="13145" max="13145" width="7.88671875" style="80" customWidth="1"/>
    <col min="13146" max="13146" width="1.109375" style="80" customWidth="1"/>
    <col min="13147" max="13147" width="0.88671875" style="80" customWidth="1"/>
    <col min="13148" max="13148" width="9.109375" style="80" customWidth="1"/>
    <col min="13149" max="13149" width="1.109375" style="80" customWidth="1"/>
    <col min="13150" max="13150" width="0.88671875" style="80" customWidth="1"/>
    <col min="13151" max="13151" width="9.5546875" style="80" bestFit="1" customWidth="1"/>
    <col min="13152" max="13153" width="0.88671875" style="80" customWidth="1"/>
    <col min="13154" max="13154" width="9.88671875" style="80" customWidth="1"/>
    <col min="13155" max="13155" width="1.109375" style="80" customWidth="1"/>
    <col min="13156" max="13156" width="8.5546875" style="80" customWidth="1"/>
    <col min="13157" max="13157" width="14.5546875" style="80" customWidth="1"/>
    <col min="13158" max="13158" width="10" style="80" customWidth="1"/>
    <col min="13159" max="13159" width="7.88671875" style="80" bestFit="1" customWidth="1"/>
    <col min="13160" max="13160" width="9.88671875" style="80" customWidth="1"/>
    <col min="13161" max="13377" width="8.88671875" style="80"/>
    <col min="13378" max="13378" width="38.44140625" style="80" customWidth="1"/>
    <col min="13379" max="13379" width="8.5546875" style="80" customWidth="1"/>
    <col min="13380" max="13380" width="1.109375" style="80" customWidth="1"/>
    <col min="13381" max="13381" width="8.88671875" style="80" customWidth="1"/>
    <col min="13382" max="13382" width="1.109375" style="80" customWidth="1"/>
    <col min="13383" max="13383" width="9.109375" style="80" customWidth="1"/>
    <col min="13384" max="13384" width="1.109375" style="80" customWidth="1"/>
    <col min="13385" max="13385" width="10" style="80" customWidth="1"/>
    <col min="13386" max="13386" width="1.109375" style="80" customWidth="1"/>
    <col min="13387" max="13387" width="9.109375" style="80" customWidth="1"/>
    <col min="13388" max="13388" width="1.109375" style="80" customWidth="1"/>
    <col min="13389" max="13389" width="11.109375" style="80" customWidth="1"/>
    <col min="13390" max="13390" width="1.109375" style="80" customWidth="1"/>
    <col min="13391" max="13391" width="9.109375" style="80" customWidth="1"/>
    <col min="13392" max="13392" width="1.88671875" style="80" customWidth="1"/>
    <col min="13393" max="13393" width="11" style="80" customWidth="1"/>
    <col min="13394" max="13394" width="1.109375" style="80" customWidth="1"/>
    <col min="13395" max="13395" width="10.88671875" style="80" customWidth="1"/>
    <col min="13396" max="13396" width="1.109375" style="80" customWidth="1"/>
    <col min="13397" max="13397" width="10" style="80" customWidth="1"/>
    <col min="13398" max="13398" width="1.109375" style="80" customWidth="1"/>
    <col min="13399" max="13399" width="9.109375" style="80" customWidth="1"/>
    <col min="13400" max="13400" width="1.109375" style="80" customWidth="1"/>
    <col min="13401" max="13401" width="7.88671875" style="80" customWidth="1"/>
    <col min="13402" max="13402" width="1.109375" style="80" customWidth="1"/>
    <col min="13403" max="13403" width="0.88671875" style="80" customWidth="1"/>
    <col min="13404" max="13404" width="9.109375" style="80" customWidth="1"/>
    <col min="13405" max="13405" width="1.109375" style="80" customWidth="1"/>
    <col min="13406" max="13406" width="0.88671875" style="80" customWidth="1"/>
    <col min="13407" max="13407" width="9.5546875" style="80" bestFit="1" customWidth="1"/>
    <col min="13408" max="13409" width="0.88671875" style="80" customWidth="1"/>
    <col min="13410" max="13410" width="9.88671875" style="80" customWidth="1"/>
    <col min="13411" max="13411" width="1.109375" style="80" customWidth="1"/>
    <col min="13412" max="13412" width="8.5546875" style="80" customWidth="1"/>
    <col min="13413" max="13413" width="14.5546875" style="80" customWidth="1"/>
    <col min="13414" max="13414" width="10" style="80" customWidth="1"/>
    <col min="13415" max="13415" width="7.88671875" style="80" bestFit="1" customWidth="1"/>
    <col min="13416" max="13416" width="9.88671875" style="80" customWidth="1"/>
    <col min="13417" max="13633" width="8.88671875" style="80"/>
    <col min="13634" max="13634" width="38.44140625" style="80" customWidth="1"/>
    <col min="13635" max="13635" width="8.5546875" style="80" customWidth="1"/>
    <col min="13636" max="13636" width="1.109375" style="80" customWidth="1"/>
    <col min="13637" max="13637" width="8.88671875" style="80" customWidth="1"/>
    <col min="13638" max="13638" width="1.109375" style="80" customWidth="1"/>
    <col min="13639" max="13639" width="9.109375" style="80" customWidth="1"/>
    <col min="13640" max="13640" width="1.109375" style="80" customWidth="1"/>
    <col min="13641" max="13641" width="10" style="80" customWidth="1"/>
    <col min="13642" max="13642" width="1.109375" style="80" customWidth="1"/>
    <col min="13643" max="13643" width="9.109375" style="80" customWidth="1"/>
    <col min="13644" max="13644" width="1.109375" style="80" customWidth="1"/>
    <col min="13645" max="13645" width="11.109375" style="80" customWidth="1"/>
    <col min="13646" max="13646" width="1.109375" style="80" customWidth="1"/>
    <col min="13647" max="13647" width="9.109375" style="80" customWidth="1"/>
    <col min="13648" max="13648" width="1.88671875" style="80" customWidth="1"/>
    <col min="13649" max="13649" width="11" style="80" customWidth="1"/>
    <col min="13650" max="13650" width="1.109375" style="80" customWidth="1"/>
    <col min="13651" max="13651" width="10.88671875" style="80" customWidth="1"/>
    <col min="13652" max="13652" width="1.109375" style="80" customWidth="1"/>
    <col min="13653" max="13653" width="10" style="80" customWidth="1"/>
    <col min="13654" max="13654" width="1.109375" style="80" customWidth="1"/>
    <col min="13655" max="13655" width="9.109375" style="80" customWidth="1"/>
    <col min="13656" max="13656" width="1.109375" style="80" customWidth="1"/>
    <col min="13657" max="13657" width="7.88671875" style="80" customWidth="1"/>
    <col min="13658" max="13658" width="1.109375" style="80" customWidth="1"/>
    <col min="13659" max="13659" width="0.88671875" style="80" customWidth="1"/>
    <col min="13660" max="13660" width="9.109375" style="80" customWidth="1"/>
    <col min="13661" max="13661" width="1.109375" style="80" customWidth="1"/>
    <col min="13662" max="13662" width="0.88671875" style="80" customWidth="1"/>
    <col min="13663" max="13663" width="9.5546875" style="80" bestFit="1" customWidth="1"/>
    <col min="13664" max="13665" width="0.88671875" style="80" customWidth="1"/>
    <col min="13666" max="13666" width="9.88671875" style="80" customWidth="1"/>
    <col min="13667" max="13667" width="1.109375" style="80" customWidth="1"/>
    <col min="13668" max="13668" width="8.5546875" style="80" customWidth="1"/>
    <col min="13669" max="13669" width="14.5546875" style="80" customWidth="1"/>
    <col min="13670" max="13670" width="10" style="80" customWidth="1"/>
    <col min="13671" max="13671" width="7.88671875" style="80" bestFit="1" customWidth="1"/>
    <col min="13672" max="13672" width="9.88671875" style="80" customWidth="1"/>
    <col min="13673" max="13889" width="8.88671875" style="80"/>
    <col min="13890" max="13890" width="38.44140625" style="80" customWidth="1"/>
    <col min="13891" max="13891" width="8.5546875" style="80" customWidth="1"/>
    <col min="13892" max="13892" width="1.109375" style="80" customWidth="1"/>
    <col min="13893" max="13893" width="8.88671875" style="80" customWidth="1"/>
    <col min="13894" max="13894" width="1.109375" style="80" customWidth="1"/>
    <col min="13895" max="13895" width="9.109375" style="80" customWidth="1"/>
    <col min="13896" max="13896" width="1.109375" style="80" customWidth="1"/>
    <col min="13897" max="13897" width="10" style="80" customWidth="1"/>
    <col min="13898" max="13898" width="1.109375" style="80" customWidth="1"/>
    <col min="13899" max="13899" width="9.109375" style="80" customWidth="1"/>
    <col min="13900" max="13900" width="1.109375" style="80" customWidth="1"/>
    <col min="13901" max="13901" width="11.109375" style="80" customWidth="1"/>
    <col min="13902" max="13902" width="1.109375" style="80" customWidth="1"/>
    <col min="13903" max="13903" width="9.109375" style="80" customWidth="1"/>
    <col min="13904" max="13904" width="1.88671875" style="80" customWidth="1"/>
    <col min="13905" max="13905" width="11" style="80" customWidth="1"/>
    <col min="13906" max="13906" width="1.109375" style="80" customWidth="1"/>
    <col min="13907" max="13907" width="10.88671875" style="80" customWidth="1"/>
    <col min="13908" max="13908" width="1.109375" style="80" customWidth="1"/>
    <col min="13909" max="13909" width="10" style="80" customWidth="1"/>
    <col min="13910" max="13910" width="1.109375" style="80" customWidth="1"/>
    <col min="13911" max="13911" width="9.109375" style="80" customWidth="1"/>
    <col min="13912" max="13912" width="1.109375" style="80" customWidth="1"/>
    <col min="13913" max="13913" width="7.88671875" style="80" customWidth="1"/>
    <col min="13914" max="13914" width="1.109375" style="80" customWidth="1"/>
    <col min="13915" max="13915" width="0.88671875" style="80" customWidth="1"/>
    <col min="13916" max="13916" width="9.109375" style="80" customWidth="1"/>
    <col min="13917" max="13917" width="1.109375" style="80" customWidth="1"/>
    <col min="13918" max="13918" width="0.88671875" style="80" customWidth="1"/>
    <col min="13919" max="13919" width="9.5546875" style="80" bestFit="1" customWidth="1"/>
    <col min="13920" max="13921" width="0.88671875" style="80" customWidth="1"/>
    <col min="13922" max="13922" width="9.88671875" style="80" customWidth="1"/>
    <col min="13923" max="13923" width="1.109375" style="80" customWidth="1"/>
    <col min="13924" max="13924" width="8.5546875" style="80" customWidth="1"/>
    <col min="13925" max="13925" width="14.5546875" style="80" customWidth="1"/>
    <col min="13926" max="13926" width="10" style="80" customWidth="1"/>
    <col min="13927" max="13927" width="7.88671875" style="80" bestFit="1" customWidth="1"/>
    <col min="13928" max="13928" width="9.88671875" style="80" customWidth="1"/>
    <col min="13929" max="14145" width="8.88671875" style="80"/>
    <col min="14146" max="14146" width="38.44140625" style="80" customWidth="1"/>
    <col min="14147" max="14147" width="8.5546875" style="80" customWidth="1"/>
    <col min="14148" max="14148" width="1.109375" style="80" customWidth="1"/>
    <col min="14149" max="14149" width="8.88671875" style="80" customWidth="1"/>
    <col min="14150" max="14150" width="1.109375" style="80" customWidth="1"/>
    <col min="14151" max="14151" width="9.109375" style="80" customWidth="1"/>
    <col min="14152" max="14152" width="1.109375" style="80" customWidth="1"/>
    <col min="14153" max="14153" width="10" style="80" customWidth="1"/>
    <col min="14154" max="14154" width="1.109375" style="80" customWidth="1"/>
    <col min="14155" max="14155" width="9.109375" style="80" customWidth="1"/>
    <col min="14156" max="14156" width="1.109375" style="80" customWidth="1"/>
    <col min="14157" max="14157" width="11.109375" style="80" customWidth="1"/>
    <col min="14158" max="14158" width="1.109375" style="80" customWidth="1"/>
    <col min="14159" max="14159" width="9.109375" style="80" customWidth="1"/>
    <col min="14160" max="14160" width="1.88671875" style="80" customWidth="1"/>
    <col min="14161" max="14161" width="11" style="80" customWidth="1"/>
    <col min="14162" max="14162" width="1.109375" style="80" customWidth="1"/>
    <col min="14163" max="14163" width="10.88671875" style="80" customWidth="1"/>
    <col min="14164" max="14164" width="1.109375" style="80" customWidth="1"/>
    <col min="14165" max="14165" width="10" style="80" customWidth="1"/>
    <col min="14166" max="14166" width="1.109375" style="80" customWidth="1"/>
    <col min="14167" max="14167" width="9.109375" style="80" customWidth="1"/>
    <col min="14168" max="14168" width="1.109375" style="80" customWidth="1"/>
    <col min="14169" max="14169" width="7.88671875" style="80" customWidth="1"/>
    <col min="14170" max="14170" width="1.109375" style="80" customWidth="1"/>
    <col min="14171" max="14171" width="0.88671875" style="80" customWidth="1"/>
    <col min="14172" max="14172" width="9.109375" style="80" customWidth="1"/>
    <col min="14173" max="14173" width="1.109375" style="80" customWidth="1"/>
    <col min="14174" max="14174" width="0.88671875" style="80" customWidth="1"/>
    <col min="14175" max="14175" width="9.5546875" style="80" bestFit="1" customWidth="1"/>
    <col min="14176" max="14177" width="0.88671875" style="80" customWidth="1"/>
    <col min="14178" max="14178" width="9.88671875" style="80" customWidth="1"/>
    <col min="14179" max="14179" width="1.109375" style="80" customWidth="1"/>
    <col min="14180" max="14180" width="8.5546875" style="80" customWidth="1"/>
    <col min="14181" max="14181" width="14.5546875" style="80" customWidth="1"/>
    <col min="14182" max="14182" width="10" style="80" customWidth="1"/>
    <col min="14183" max="14183" width="7.88671875" style="80" bestFit="1" customWidth="1"/>
    <col min="14184" max="14184" width="9.88671875" style="80" customWidth="1"/>
    <col min="14185" max="14401" width="8.88671875" style="80"/>
    <col min="14402" max="14402" width="38.44140625" style="80" customWidth="1"/>
    <col min="14403" max="14403" width="8.5546875" style="80" customWidth="1"/>
    <col min="14404" max="14404" width="1.109375" style="80" customWidth="1"/>
    <col min="14405" max="14405" width="8.88671875" style="80" customWidth="1"/>
    <col min="14406" max="14406" width="1.109375" style="80" customWidth="1"/>
    <col min="14407" max="14407" width="9.109375" style="80" customWidth="1"/>
    <col min="14408" max="14408" width="1.109375" style="80" customWidth="1"/>
    <col min="14409" max="14409" width="10" style="80" customWidth="1"/>
    <col min="14410" max="14410" width="1.109375" style="80" customWidth="1"/>
    <col min="14411" max="14411" width="9.109375" style="80" customWidth="1"/>
    <col min="14412" max="14412" width="1.109375" style="80" customWidth="1"/>
    <col min="14413" max="14413" width="11.109375" style="80" customWidth="1"/>
    <col min="14414" max="14414" width="1.109375" style="80" customWidth="1"/>
    <col min="14415" max="14415" width="9.109375" style="80" customWidth="1"/>
    <col min="14416" max="14416" width="1.88671875" style="80" customWidth="1"/>
    <col min="14417" max="14417" width="11" style="80" customWidth="1"/>
    <col min="14418" max="14418" width="1.109375" style="80" customWidth="1"/>
    <col min="14419" max="14419" width="10.88671875" style="80" customWidth="1"/>
    <col min="14420" max="14420" width="1.109375" style="80" customWidth="1"/>
    <col min="14421" max="14421" width="10" style="80" customWidth="1"/>
    <col min="14422" max="14422" width="1.109375" style="80" customWidth="1"/>
    <col min="14423" max="14423" width="9.109375" style="80" customWidth="1"/>
    <col min="14424" max="14424" width="1.109375" style="80" customWidth="1"/>
    <col min="14425" max="14425" width="7.88671875" style="80" customWidth="1"/>
    <col min="14426" max="14426" width="1.109375" style="80" customWidth="1"/>
    <col min="14427" max="14427" width="0.88671875" style="80" customWidth="1"/>
    <col min="14428" max="14428" width="9.109375" style="80" customWidth="1"/>
    <col min="14429" max="14429" width="1.109375" style="80" customWidth="1"/>
    <col min="14430" max="14430" width="0.88671875" style="80" customWidth="1"/>
    <col min="14431" max="14431" width="9.5546875" style="80" bestFit="1" customWidth="1"/>
    <col min="14432" max="14433" width="0.88671875" style="80" customWidth="1"/>
    <col min="14434" max="14434" width="9.88671875" style="80" customWidth="1"/>
    <col min="14435" max="14435" width="1.109375" style="80" customWidth="1"/>
    <col min="14436" max="14436" width="8.5546875" style="80" customWidth="1"/>
    <col min="14437" max="14437" width="14.5546875" style="80" customWidth="1"/>
    <col min="14438" max="14438" width="10" style="80" customWidth="1"/>
    <col min="14439" max="14439" width="7.88671875" style="80" bestFit="1" customWidth="1"/>
    <col min="14440" max="14440" width="9.88671875" style="80" customWidth="1"/>
    <col min="14441" max="14657" width="8.88671875" style="80"/>
    <col min="14658" max="14658" width="38.44140625" style="80" customWidth="1"/>
    <col min="14659" max="14659" width="8.5546875" style="80" customWidth="1"/>
    <col min="14660" max="14660" width="1.109375" style="80" customWidth="1"/>
    <col min="14661" max="14661" width="8.88671875" style="80" customWidth="1"/>
    <col min="14662" max="14662" width="1.109375" style="80" customWidth="1"/>
    <col min="14663" max="14663" width="9.109375" style="80" customWidth="1"/>
    <col min="14664" max="14664" width="1.109375" style="80" customWidth="1"/>
    <col min="14665" max="14665" width="10" style="80" customWidth="1"/>
    <col min="14666" max="14666" width="1.109375" style="80" customWidth="1"/>
    <col min="14667" max="14667" width="9.109375" style="80" customWidth="1"/>
    <col min="14668" max="14668" width="1.109375" style="80" customWidth="1"/>
    <col min="14669" max="14669" width="11.109375" style="80" customWidth="1"/>
    <col min="14670" max="14670" width="1.109375" style="80" customWidth="1"/>
    <col min="14671" max="14671" width="9.109375" style="80" customWidth="1"/>
    <col min="14672" max="14672" width="1.88671875" style="80" customWidth="1"/>
    <col min="14673" max="14673" width="11" style="80" customWidth="1"/>
    <col min="14674" max="14674" width="1.109375" style="80" customWidth="1"/>
    <col min="14675" max="14675" width="10.88671875" style="80" customWidth="1"/>
    <col min="14676" max="14676" width="1.109375" style="80" customWidth="1"/>
    <col min="14677" max="14677" width="10" style="80" customWidth="1"/>
    <col min="14678" max="14678" width="1.109375" style="80" customWidth="1"/>
    <col min="14679" max="14679" width="9.109375" style="80" customWidth="1"/>
    <col min="14680" max="14680" width="1.109375" style="80" customWidth="1"/>
    <col min="14681" max="14681" width="7.88671875" style="80" customWidth="1"/>
    <col min="14682" max="14682" width="1.109375" style="80" customWidth="1"/>
    <col min="14683" max="14683" width="0.88671875" style="80" customWidth="1"/>
    <col min="14684" max="14684" width="9.109375" style="80" customWidth="1"/>
    <col min="14685" max="14685" width="1.109375" style="80" customWidth="1"/>
    <col min="14686" max="14686" width="0.88671875" style="80" customWidth="1"/>
    <col min="14687" max="14687" width="9.5546875" style="80" bestFit="1" customWidth="1"/>
    <col min="14688" max="14689" width="0.88671875" style="80" customWidth="1"/>
    <col min="14690" max="14690" width="9.88671875" style="80" customWidth="1"/>
    <col min="14691" max="14691" width="1.109375" style="80" customWidth="1"/>
    <col min="14692" max="14692" width="8.5546875" style="80" customWidth="1"/>
    <col min="14693" max="14693" width="14.5546875" style="80" customWidth="1"/>
    <col min="14694" max="14694" width="10" style="80" customWidth="1"/>
    <col min="14695" max="14695" width="7.88671875" style="80" bestFit="1" customWidth="1"/>
    <col min="14696" max="14696" width="9.88671875" style="80" customWidth="1"/>
    <col min="14697" max="14913" width="8.88671875" style="80"/>
    <col min="14914" max="14914" width="38.44140625" style="80" customWidth="1"/>
    <col min="14915" max="14915" width="8.5546875" style="80" customWidth="1"/>
    <col min="14916" max="14916" width="1.109375" style="80" customWidth="1"/>
    <col min="14917" max="14917" width="8.88671875" style="80" customWidth="1"/>
    <col min="14918" max="14918" width="1.109375" style="80" customWidth="1"/>
    <col min="14919" max="14919" width="9.109375" style="80" customWidth="1"/>
    <col min="14920" max="14920" width="1.109375" style="80" customWidth="1"/>
    <col min="14921" max="14921" width="10" style="80" customWidth="1"/>
    <col min="14922" max="14922" width="1.109375" style="80" customWidth="1"/>
    <col min="14923" max="14923" width="9.109375" style="80" customWidth="1"/>
    <col min="14924" max="14924" width="1.109375" style="80" customWidth="1"/>
    <col min="14925" max="14925" width="11.109375" style="80" customWidth="1"/>
    <col min="14926" max="14926" width="1.109375" style="80" customWidth="1"/>
    <col min="14927" max="14927" width="9.109375" style="80" customWidth="1"/>
    <col min="14928" max="14928" width="1.88671875" style="80" customWidth="1"/>
    <col min="14929" max="14929" width="11" style="80" customWidth="1"/>
    <col min="14930" max="14930" width="1.109375" style="80" customWidth="1"/>
    <col min="14931" max="14931" width="10.88671875" style="80" customWidth="1"/>
    <col min="14932" max="14932" width="1.109375" style="80" customWidth="1"/>
    <col min="14933" max="14933" width="10" style="80" customWidth="1"/>
    <col min="14934" max="14934" width="1.109375" style="80" customWidth="1"/>
    <col min="14935" max="14935" width="9.109375" style="80" customWidth="1"/>
    <col min="14936" max="14936" width="1.109375" style="80" customWidth="1"/>
    <col min="14937" max="14937" width="7.88671875" style="80" customWidth="1"/>
    <col min="14938" max="14938" width="1.109375" style="80" customWidth="1"/>
    <col min="14939" max="14939" width="0.88671875" style="80" customWidth="1"/>
    <col min="14940" max="14940" width="9.109375" style="80" customWidth="1"/>
    <col min="14941" max="14941" width="1.109375" style="80" customWidth="1"/>
    <col min="14942" max="14942" width="0.88671875" style="80" customWidth="1"/>
    <col min="14943" max="14943" width="9.5546875" style="80" bestFit="1" customWidth="1"/>
    <col min="14944" max="14945" width="0.88671875" style="80" customWidth="1"/>
    <col min="14946" max="14946" width="9.88671875" style="80" customWidth="1"/>
    <col min="14947" max="14947" width="1.109375" style="80" customWidth="1"/>
    <col min="14948" max="14948" width="8.5546875" style="80" customWidth="1"/>
    <col min="14949" max="14949" width="14.5546875" style="80" customWidth="1"/>
    <col min="14950" max="14950" width="10" style="80" customWidth="1"/>
    <col min="14951" max="14951" width="7.88671875" style="80" bestFit="1" customWidth="1"/>
    <col min="14952" max="14952" width="9.88671875" style="80" customWidth="1"/>
    <col min="14953" max="15169" width="8.88671875" style="80"/>
    <col min="15170" max="15170" width="38.44140625" style="80" customWidth="1"/>
    <col min="15171" max="15171" width="8.5546875" style="80" customWidth="1"/>
    <col min="15172" max="15172" width="1.109375" style="80" customWidth="1"/>
    <col min="15173" max="15173" width="8.88671875" style="80" customWidth="1"/>
    <col min="15174" max="15174" width="1.109375" style="80" customWidth="1"/>
    <col min="15175" max="15175" width="9.109375" style="80" customWidth="1"/>
    <col min="15176" max="15176" width="1.109375" style="80" customWidth="1"/>
    <col min="15177" max="15177" width="10" style="80" customWidth="1"/>
    <col min="15178" max="15178" width="1.109375" style="80" customWidth="1"/>
    <col min="15179" max="15179" width="9.109375" style="80" customWidth="1"/>
    <col min="15180" max="15180" width="1.109375" style="80" customWidth="1"/>
    <col min="15181" max="15181" width="11.109375" style="80" customWidth="1"/>
    <col min="15182" max="15182" width="1.109375" style="80" customWidth="1"/>
    <col min="15183" max="15183" width="9.109375" style="80" customWidth="1"/>
    <col min="15184" max="15184" width="1.88671875" style="80" customWidth="1"/>
    <col min="15185" max="15185" width="11" style="80" customWidth="1"/>
    <col min="15186" max="15186" width="1.109375" style="80" customWidth="1"/>
    <col min="15187" max="15187" width="10.88671875" style="80" customWidth="1"/>
    <col min="15188" max="15188" width="1.109375" style="80" customWidth="1"/>
    <col min="15189" max="15189" width="10" style="80" customWidth="1"/>
    <col min="15190" max="15190" width="1.109375" style="80" customWidth="1"/>
    <col min="15191" max="15191" width="9.109375" style="80" customWidth="1"/>
    <col min="15192" max="15192" width="1.109375" style="80" customWidth="1"/>
    <col min="15193" max="15193" width="7.88671875" style="80" customWidth="1"/>
    <col min="15194" max="15194" width="1.109375" style="80" customWidth="1"/>
    <col min="15195" max="15195" width="0.88671875" style="80" customWidth="1"/>
    <col min="15196" max="15196" width="9.109375" style="80" customWidth="1"/>
    <col min="15197" max="15197" width="1.109375" style="80" customWidth="1"/>
    <col min="15198" max="15198" width="0.88671875" style="80" customWidth="1"/>
    <col min="15199" max="15199" width="9.5546875" style="80" bestFit="1" customWidth="1"/>
    <col min="15200" max="15201" width="0.88671875" style="80" customWidth="1"/>
    <col min="15202" max="15202" width="9.88671875" style="80" customWidth="1"/>
    <col min="15203" max="15203" width="1.109375" style="80" customWidth="1"/>
    <col min="15204" max="15204" width="8.5546875" style="80" customWidth="1"/>
    <col min="15205" max="15205" width="14.5546875" style="80" customWidth="1"/>
    <col min="15206" max="15206" width="10" style="80" customWidth="1"/>
    <col min="15207" max="15207" width="7.88671875" style="80" bestFit="1" customWidth="1"/>
    <col min="15208" max="15208" width="9.88671875" style="80" customWidth="1"/>
    <col min="15209" max="15425" width="8.88671875" style="80"/>
    <col min="15426" max="15426" width="38.44140625" style="80" customWidth="1"/>
    <col min="15427" max="15427" width="8.5546875" style="80" customWidth="1"/>
    <col min="15428" max="15428" width="1.109375" style="80" customWidth="1"/>
    <col min="15429" max="15429" width="8.88671875" style="80" customWidth="1"/>
    <col min="15430" max="15430" width="1.109375" style="80" customWidth="1"/>
    <col min="15431" max="15431" width="9.109375" style="80" customWidth="1"/>
    <col min="15432" max="15432" width="1.109375" style="80" customWidth="1"/>
    <col min="15433" max="15433" width="10" style="80" customWidth="1"/>
    <col min="15434" max="15434" width="1.109375" style="80" customWidth="1"/>
    <col min="15435" max="15435" width="9.109375" style="80" customWidth="1"/>
    <col min="15436" max="15436" width="1.109375" style="80" customWidth="1"/>
    <col min="15437" max="15437" width="11.109375" style="80" customWidth="1"/>
    <col min="15438" max="15438" width="1.109375" style="80" customWidth="1"/>
    <col min="15439" max="15439" width="9.109375" style="80" customWidth="1"/>
    <col min="15440" max="15440" width="1.88671875" style="80" customWidth="1"/>
    <col min="15441" max="15441" width="11" style="80" customWidth="1"/>
    <col min="15442" max="15442" width="1.109375" style="80" customWidth="1"/>
    <col min="15443" max="15443" width="10.88671875" style="80" customWidth="1"/>
    <col min="15444" max="15444" width="1.109375" style="80" customWidth="1"/>
    <col min="15445" max="15445" width="10" style="80" customWidth="1"/>
    <col min="15446" max="15446" width="1.109375" style="80" customWidth="1"/>
    <col min="15447" max="15447" width="9.109375" style="80" customWidth="1"/>
    <col min="15448" max="15448" width="1.109375" style="80" customWidth="1"/>
    <col min="15449" max="15449" width="7.88671875" style="80" customWidth="1"/>
    <col min="15450" max="15450" width="1.109375" style="80" customWidth="1"/>
    <col min="15451" max="15451" width="0.88671875" style="80" customWidth="1"/>
    <col min="15452" max="15452" width="9.109375" style="80" customWidth="1"/>
    <col min="15453" max="15453" width="1.109375" style="80" customWidth="1"/>
    <col min="15454" max="15454" width="0.88671875" style="80" customWidth="1"/>
    <col min="15455" max="15455" width="9.5546875" style="80" bestFit="1" customWidth="1"/>
    <col min="15456" max="15457" width="0.88671875" style="80" customWidth="1"/>
    <col min="15458" max="15458" width="9.88671875" style="80" customWidth="1"/>
    <col min="15459" max="15459" width="1.109375" style="80" customWidth="1"/>
    <col min="15460" max="15460" width="8.5546875" style="80" customWidth="1"/>
    <col min="15461" max="15461" width="14.5546875" style="80" customWidth="1"/>
    <col min="15462" max="15462" width="10" style="80" customWidth="1"/>
    <col min="15463" max="15463" width="7.88671875" style="80" bestFit="1" customWidth="1"/>
    <col min="15464" max="15464" width="9.88671875" style="80" customWidth="1"/>
    <col min="15465" max="15681" width="8.88671875" style="80"/>
    <col min="15682" max="15682" width="38.44140625" style="80" customWidth="1"/>
    <col min="15683" max="15683" width="8.5546875" style="80" customWidth="1"/>
    <col min="15684" max="15684" width="1.109375" style="80" customWidth="1"/>
    <col min="15685" max="15685" width="8.88671875" style="80" customWidth="1"/>
    <col min="15686" max="15686" width="1.109375" style="80" customWidth="1"/>
    <col min="15687" max="15687" width="9.109375" style="80" customWidth="1"/>
    <col min="15688" max="15688" width="1.109375" style="80" customWidth="1"/>
    <col min="15689" max="15689" width="10" style="80" customWidth="1"/>
    <col min="15690" max="15690" width="1.109375" style="80" customWidth="1"/>
    <col min="15691" max="15691" width="9.109375" style="80" customWidth="1"/>
    <col min="15692" max="15692" width="1.109375" style="80" customWidth="1"/>
    <col min="15693" max="15693" width="11.109375" style="80" customWidth="1"/>
    <col min="15694" max="15694" width="1.109375" style="80" customWidth="1"/>
    <col min="15695" max="15695" width="9.109375" style="80" customWidth="1"/>
    <col min="15696" max="15696" width="1.88671875" style="80" customWidth="1"/>
    <col min="15697" max="15697" width="11" style="80" customWidth="1"/>
    <col min="15698" max="15698" width="1.109375" style="80" customWidth="1"/>
    <col min="15699" max="15699" width="10.88671875" style="80" customWidth="1"/>
    <col min="15700" max="15700" width="1.109375" style="80" customWidth="1"/>
    <col min="15701" max="15701" width="10" style="80" customWidth="1"/>
    <col min="15702" max="15702" width="1.109375" style="80" customWidth="1"/>
    <col min="15703" max="15703" width="9.109375" style="80" customWidth="1"/>
    <col min="15704" max="15704" width="1.109375" style="80" customWidth="1"/>
    <col min="15705" max="15705" width="7.88671875" style="80" customWidth="1"/>
    <col min="15706" max="15706" width="1.109375" style="80" customWidth="1"/>
    <col min="15707" max="15707" width="0.88671875" style="80" customWidth="1"/>
    <col min="15708" max="15708" width="9.109375" style="80" customWidth="1"/>
    <col min="15709" max="15709" width="1.109375" style="80" customWidth="1"/>
    <col min="15710" max="15710" width="0.88671875" style="80" customWidth="1"/>
    <col min="15711" max="15711" width="9.5546875" style="80" bestFit="1" customWidth="1"/>
    <col min="15712" max="15713" width="0.88671875" style="80" customWidth="1"/>
    <col min="15714" max="15714" width="9.88671875" style="80" customWidth="1"/>
    <col min="15715" max="15715" width="1.109375" style="80" customWidth="1"/>
    <col min="15716" max="15716" width="8.5546875" style="80" customWidth="1"/>
    <col min="15717" max="15717" width="14.5546875" style="80" customWidth="1"/>
    <col min="15718" max="15718" width="10" style="80" customWidth="1"/>
    <col min="15719" max="15719" width="7.88671875" style="80" bestFit="1" customWidth="1"/>
    <col min="15720" max="15720" width="9.88671875" style="80" customWidth="1"/>
    <col min="15721" max="15937" width="8.88671875" style="80"/>
    <col min="15938" max="15938" width="38.44140625" style="80" customWidth="1"/>
    <col min="15939" max="15939" width="8.5546875" style="80" customWidth="1"/>
    <col min="15940" max="15940" width="1.109375" style="80" customWidth="1"/>
    <col min="15941" max="15941" width="8.88671875" style="80" customWidth="1"/>
    <col min="15942" max="15942" width="1.109375" style="80" customWidth="1"/>
    <col min="15943" max="15943" width="9.109375" style="80" customWidth="1"/>
    <col min="15944" max="15944" width="1.109375" style="80" customWidth="1"/>
    <col min="15945" max="15945" width="10" style="80" customWidth="1"/>
    <col min="15946" max="15946" width="1.109375" style="80" customWidth="1"/>
    <col min="15947" max="15947" width="9.109375" style="80" customWidth="1"/>
    <col min="15948" max="15948" width="1.109375" style="80" customWidth="1"/>
    <col min="15949" max="15949" width="11.109375" style="80" customWidth="1"/>
    <col min="15950" max="15950" width="1.109375" style="80" customWidth="1"/>
    <col min="15951" max="15951" width="9.109375" style="80" customWidth="1"/>
    <col min="15952" max="15952" width="1.88671875" style="80" customWidth="1"/>
    <col min="15953" max="15953" width="11" style="80" customWidth="1"/>
    <col min="15954" max="15954" width="1.109375" style="80" customWidth="1"/>
    <col min="15955" max="15955" width="10.88671875" style="80" customWidth="1"/>
    <col min="15956" max="15956" width="1.109375" style="80" customWidth="1"/>
    <col min="15957" max="15957" width="10" style="80" customWidth="1"/>
    <col min="15958" max="15958" width="1.109375" style="80" customWidth="1"/>
    <col min="15959" max="15959" width="9.109375" style="80" customWidth="1"/>
    <col min="15960" max="15960" width="1.109375" style="80" customWidth="1"/>
    <col min="15961" max="15961" width="7.88671875" style="80" customWidth="1"/>
    <col min="15962" max="15962" width="1.109375" style="80" customWidth="1"/>
    <col min="15963" max="15963" width="0.88671875" style="80" customWidth="1"/>
    <col min="15964" max="15964" width="9.109375" style="80" customWidth="1"/>
    <col min="15965" max="15965" width="1.109375" style="80" customWidth="1"/>
    <col min="15966" max="15966" width="0.88671875" style="80" customWidth="1"/>
    <col min="15967" max="15967" width="9.5546875" style="80" bestFit="1" customWidth="1"/>
    <col min="15968" max="15969" width="0.88671875" style="80" customWidth="1"/>
    <col min="15970" max="15970" width="9.88671875" style="80" customWidth="1"/>
    <col min="15971" max="15971" width="1.109375" style="80" customWidth="1"/>
    <col min="15972" max="15972" width="8.5546875" style="80" customWidth="1"/>
    <col min="15973" max="15973" width="14.5546875" style="80" customWidth="1"/>
    <col min="15974" max="15974" width="10" style="80" customWidth="1"/>
    <col min="15975" max="15975" width="7.88671875" style="80" bestFit="1" customWidth="1"/>
    <col min="15976" max="15976" width="9.88671875" style="80" customWidth="1"/>
    <col min="15977" max="16199" width="8.88671875" style="80"/>
    <col min="16200" max="16384" width="8.88671875" style="80" customWidth="1"/>
  </cols>
  <sheetData>
    <row r="1" spans="1:36" ht="15">
      <c r="A1" s="284" t="s">
        <v>97</v>
      </c>
    </row>
    <row r="2" spans="1:36" ht="10.5" customHeight="1"/>
    <row r="3" spans="1:36" ht="18">
      <c r="A3" s="723" t="s">
        <v>98</v>
      </c>
      <c r="AI3" s="724" t="s">
        <v>539</v>
      </c>
    </row>
    <row r="4" spans="1:36" ht="18">
      <c r="A4" s="81" t="s">
        <v>540</v>
      </c>
    </row>
    <row r="5" spans="1:36" ht="18">
      <c r="A5" s="81" t="s">
        <v>444</v>
      </c>
      <c r="AB5" s="2068"/>
      <c r="AC5" s="2069"/>
      <c r="AD5" s="2069"/>
      <c r="AE5" s="1221"/>
      <c r="AF5" s="1221"/>
      <c r="AG5" s="1221"/>
      <c r="AH5" s="1221"/>
      <c r="AI5" s="1221"/>
    </row>
    <row r="6" spans="1:36" ht="18">
      <c r="A6" s="723" t="str">
        <f>'Cashflow Governmental'!A6</f>
        <v>FISCAL YEAR 2026-2027</v>
      </c>
    </row>
    <row r="7" spans="1:36" ht="18">
      <c r="A7" s="81" t="s">
        <v>102</v>
      </c>
    </row>
    <row r="8" spans="1:36" ht="18">
      <c r="A8" s="81"/>
      <c r="AJ8" s="80"/>
    </row>
    <row r="9" spans="1:36" ht="15.75">
      <c r="B9" s="1549"/>
      <c r="Z9" s="2065" t="str">
        <f>'Cashflow Governmental'!$AB$12</f>
        <v>3 Months Ended June 30</v>
      </c>
      <c r="AA9" s="2065"/>
      <c r="AB9" s="2065"/>
      <c r="AC9" s="2065"/>
      <c r="AD9" s="2065"/>
      <c r="AE9" s="2065"/>
      <c r="AF9" s="2065"/>
      <c r="AG9" s="2065"/>
      <c r="AH9" s="2065"/>
      <c r="AI9" s="2065"/>
      <c r="AJ9" s="80"/>
    </row>
    <row r="10" spans="1:36" ht="15.75">
      <c r="B10" s="725" t="str">
        <f>'Cashflow Governmental'!C13</f>
        <v>2026</v>
      </c>
      <c r="C10" s="83"/>
      <c r="D10" s="83"/>
      <c r="E10" s="83"/>
      <c r="F10" s="1129"/>
      <c r="G10" s="83"/>
      <c r="H10" s="83"/>
      <c r="I10" s="83"/>
      <c r="J10" s="83"/>
      <c r="K10" s="83"/>
      <c r="L10" s="83"/>
      <c r="M10" s="83"/>
      <c r="N10" s="83"/>
      <c r="O10" s="83"/>
      <c r="P10" s="83"/>
      <c r="Q10" s="83"/>
      <c r="R10" s="83"/>
      <c r="S10" s="83"/>
      <c r="T10" s="725">
        <f>'Cashflow Governmental'!U13</f>
        <v>2027</v>
      </c>
      <c r="U10" s="83"/>
      <c r="V10" s="83"/>
      <c r="W10" s="83"/>
      <c r="X10" s="725"/>
      <c r="Y10" s="83"/>
      <c r="Z10" s="83"/>
      <c r="AA10" s="83"/>
      <c r="AB10" s="83"/>
      <c r="AC10" s="83"/>
      <c r="AD10" s="83"/>
      <c r="AE10" s="83"/>
      <c r="AF10" s="83"/>
      <c r="AG10" s="726" t="s">
        <v>110</v>
      </c>
      <c r="AH10" s="727"/>
      <c r="AI10" s="728" t="s">
        <v>111</v>
      </c>
      <c r="AJ10" s="80"/>
    </row>
    <row r="11" spans="1:36" ht="15.75">
      <c r="B11" s="1053" t="s">
        <v>329</v>
      </c>
      <c r="C11" s="83"/>
      <c r="D11" s="1053" t="s">
        <v>330</v>
      </c>
      <c r="E11" s="725"/>
      <c r="F11" s="1054" t="s">
        <v>331</v>
      </c>
      <c r="G11" s="725"/>
      <c r="H11" s="1053" t="s">
        <v>332</v>
      </c>
      <c r="I11" s="725"/>
      <c r="J11" s="1053" t="s">
        <v>333</v>
      </c>
      <c r="K11" s="725"/>
      <c r="L11" s="1222" t="s">
        <v>445</v>
      </c>
      <c r="M11" s="725"/>
      <c r="N11" s="1053" t="s">
        <v>446</v>
      </c>
      <c r="O11" s="725"/>
      <c r="P11" s="1053" t="s">
        <v>336</v>
      </c>
      <c r="Q11" s="725"/>
      <c r="R11" s="1053" t="s">
        <v>337</v>
      </c>
      <c r="S11" s="83"/>
      <c r="T11" s="1053" t="s">
        <v>338</v>
      </c>
      <c r="U11" s="725"/>
      <c r="V11" s="1053" t="s">
        <v>339</v>
      </c>
      <c r="W11" s="725"/>
      <c r="X11" s="1053" t="s">
        <v>447</v>
      </c>
      <c r="Y11" s="725"/>
      <c r="Z11" s="725"/>
      <c r="AA11" s="1053" t="str">
        <f>'Cashflow Governmental'!AB14</f>
        <v>2026</v>
      </c>
      <c r="AB11" s="725"/>
      <c r="AC11" s="725"/>
      <c r="AD11" s="1053" t="str">
        <f>'Cashflow Governmental'!AE14</f>
        <v>2025</v>
      </c>
      <c r="AE11" s="725"/>
      <c r="AF11" s="725"/>
      <c r="AG11" s="1054" t="s">
        <v>112</v>
      </c>
      <c r="AH11" s="727"/>
      <c r="AI11" s="1054" t="s">
        <v>113</v>
      </c>
    </row>
    <row r="12" spans="1:36" ht="3" customHeight="1">
      <c r="B12" s="900"/>
      <c r="C12" s="736"/>
      <c r="D12" s="900"/>
      <c r="E12" s="900"/>
      <c r="F12" s="1055"/>
      <c r="G12" s="900"/>
      <c r="H12" s="900"/>
      <c r="I12" s="900"/>
      <c r="J12" s="900"/>
      <c r="K12" s="900"/>
      <c r="L12" s="1056"/>
      <c r="M12" s="900"/>
      <c r="N12" s="900"/>
      <c r="O12" s="900"/>
      <c r="P12" s="900"/>
      <c r="Q12" s="900"/>
      <c r="R12" s="900"/>
      <c r="S12" s="736"/>
      <c r="T12" s="1057"/>
      <c r="U12" s="900"/>
      <c r="V12" s="900"/>
      <c r="W12" s="900"/>
      <c r="X12" s="900"/>
      <c r="Y12" s="900"/>
      <c r="Z12" s="900"/>
      <c r="AA12" s="900"/>
      <c r="AB12" s="900"/>
      <c r="AC12" s="900"/>
      <c r="AD12" s="900"/>
      <c r="AE12" s="900"/>
      <c r="AF12" s="900"/>
      <c r="AG12" s="900"/>
      <c r="AH12" s="736"/>
      <c r="AI12" s="736"/>
    </row>
    <row r="13" spans="1:36" ht="15.75">
      <c r="A13" s="729" t="s">
        <v>541</v>
      </c>
      <c r="B13" s="82">
        <v>104.7</v>
      </c>
      <c r="C13" s="82"/>
      <c r="D13" s="730">
        <f>B78</f>
        <v>262.2</v>
      </c>
      <c r="E13" s="730"/>
      <c r="F13" s="730">
        <f>D78</f>
        <v>270.5</v>
      </c>
      <c r="G13" s="82"/>
      <c r="H13" s="730"/>
      <c r="I13" s="82"/>
      <c r="J13" s="730"/>
      <c r="K13" s="82"/>
      <c r="L13" s="730"/>
      <c r="M13" s="82"/>
      <c r="N13" s="730"/>
      <c r="O13" s="82"/>
      <c r="P13" s="730"/>
      <c r="Q13" s="730"/>
      <c r="R13" s="730"/>
      <c r="S13" s="730"/>
      <c r="T13" s="730"/>
      <c r="U13" s="730"/>
      <c r="V13" s="730"/>
      <c r="W13" s="730"/>
      <c r="X13" s="730"/>
      <c r="Y13" s="1236"/>
      <c r="Z13" s="82"/>
      <c r="AA13" s="82">
        <f>B13</f>
        <v>104.7</v>
      </c>
      <c r="AB13" s="1236"/>
      <c r="AC13" s="82"/>
      <c r="AD13" s="1943">
        <v>117.4</v>
      </c>
      <c r="AE13" s="1817"/>
      <c r="AF13" s="731"/>
      <c r="AG13" s="82">
        <f>ROUND(SUM(AA13-AD13),1)</f>
        <v>-12.7</v>
      </c>
      <c r="AH13" s="83"/>
      <c r="AI13" s="732">
        <f>ROUND(SUM(AG13/AD13),3)</f>
        <v>-0.108</v>
      </c>
      <c r="AJ13" s="1550"/>
    </row>
    <row r="14" spans="1:36" ht="12.75" customHeight="1">
      <c r="A14" s="736"/>
      <c r="B14" s="736"/>
      <c r="C14" s="736"/>
      <c r="D14" s="736"/>
      <c r="E14" s="736"/>
      <c r="F14" s="899"/>
      <c r="G14" s="736"/>
      <c r="H14" s="899"/>
      <c r="I14" s="736"/>
      <c r="J14" s="736"/>
      <c r="K14" s="736"/>
      <c r="L14" s="736"/>
      <c r="M14" s="736"/>
      <c r="N14" s="736"/>
      <c r="O14" s="736"/>
      <c r="P14" s="736"/>
      <c r="Q14" s="736"/>
      <c r="R14" s="736"/>
      <c r="S14" s="736"/>
      <c r="T14" s="736"/>
      <c r="U14" s="736"/>
      <c r="V14" s="736"/>
      <c r="W14" s="736"/>
      <c r="X14" s="736"/>
      <c r="Y14" s="1237"/>
      <c r="Z14" s="736"/>
      <c r="AA14" s="899"/>
      <c r="AB14" s="1238"/>
      <c r="AC14" s="899"/>
      <c r="AD14" s="552"/>
      <c r="AE14" s="900"/>
      <c r="AF14" s="901"/>
      <c r="AG14" s="899"/>
      <c r="AH14" s="736"/>
      <c r="AI14" s="736"/>
      <c r="AJ14" s="1550"/>
    </row>
    <row r="15" spans="1:36" ht="14.25" customHeight="1">
      <c r="A15" s="83" t="s">
        <v>114</v>
      </c>
      <c r="B15" s="736"/>
      <c r="C15" s="736"/>
      <c r="D15" s="736"/>
      <c r="E15" s="736"/>
      <c r="F15" s="899"/>
      <c r="G15" s="736"/>
      <c r="H15" s="899"/>
      <c r="I15" s="736"/>
      <c r="J15" s="736"/>
      <c r="K15" s="736"/>
      <c r="L15" s="736"/>
      <c r="M15" s="736"/>
      <c r="N15" s="736"/>
      <c r="O15" s="736"/>
      <c r="P15" s="736"/>
      <c r="Q15" s="736"/>
      <c r="R15" s="736"/>
      <c r="S15" s="736"/>
      <c r="T15" s="736"/>
      <c r="U15" s="736"/>
      <c r="V15" s="736"/>
      <c r="W15" s="736"/>
      <c r="X15" s="736"/>
      <c r="Y15" s="1237"/>
      <c r="Z15" s="736"/>
      <c r="AA15" s="899"/>
      <c r="AB15" s="1238"/>
      <c r="AC15" s="899"/>
      <c r="AD15" s="552"/>
      <c r="AE15" s="900"/>
      <c r="AF15" s="901"/>
      <c r="AG15" s="899"/>
      <c r="AH15" s="736"/>
      <c r="AI15" s="736"/>
      <c r="AJ15" s="1550"/>
    </row>
    <row r="16" spans="1:36" ht="14.25" customHeight="1">
      <c r="A16" s="1216" t="s">
        <v>342</v>
      </c>
      <c r="B16" s="62"/>
      <c r="C16" s="62"/>
      <c r="D16" s="62"/>
      <c r="E16" s="192"/>
      <c r="F16" s="62"/>
      <c r="G16" s="192"/>
      <c r="H16" s="62"/>
      <c r="I16" s="736"/>
      <c r="J16" s="736"/>
      <c r="K16" s="736"/>
      <c r="L16" s="736"/>
      <c r="M16" s="736"/>
      <c r="N16" s="736"/>
      <c r="O16" s="736"/>
      <c r="P16" s="736"/>
      <c r="Q16" s="736"/>
      <c r="R16" s="736"/>
      <c r="S16" s="736"/>
      <c r="T16" s="736"/>
      <c r="U16" s="736"/>
      <c r="V16" s="736"/>
      <c r="W16" s="736"/>
      <c r="X16" s="736"/>
      <c r="Y16" s="1237"/>
      <c r="Z16" s="736"/>
      <c r="AA16" s="899"/>
      <c r="AB16" s="1238"/>
      <c r="AC16" s="899"/>
      <c r="AD16" s="62"/>
      <c r="AE16" s="900"/>
      <c r="AF16" s="901"/>
      <c r="AG16" s="899"/>
      <c r="AH16" s="736"/>
      <c r="AI16" s="736"/>
      <c r="AJ16" s="1550"/>
    </row>
    <row r="17" spans="1:36" ht="14.25" customHeight="1">
      <c r="A17" s="412" t="s">
        <v>479</v>
      </c>
      <c r="B17" s="531">
        <v>5227.2</v>
      </c>
      <c r="C17" s="512"/>
      <c r="D17" s="531">
        <v>2024.5</v>
      </c>
      <c r="E17" s="512"/>
      <c r="F17" s="531">
        <f>$AA17-D17-B17</f>
        <v>3191.4000000000005</v>
      </c>
      <c r="G17" s="512"/>
      <c r="H17" s="531"/>
      <c r="I17" s="552"/>
      <c r="J17" s="531"/>
      <c r="K17" s="552"/>
      <c r="L17" s="531"/>
      <c r="M17" s="552"/>
      <c r="N17" s="531"/>
      <c r="O17" s="552"/>
      <c r="P17" s="512"/>
      <c r="Q17" s="512"/>
      <c r="R17" s="512"/>
      <c r="S17" s="512"/>
      <c r="T17" s="512"/>
      <c r="U17" s="512"/>
      <c r="V17" s="512"/>
      <c r="W17" s="512"/>
      <c r="X17" s="512"/>
      <c r="Y17" s="1237"/>
      <c r="Z17" s="736"/>
      <c r="AA17" s="531">
        <v>10443.1</v>
      </c>
      <c r="AB17" s="276"/>
      <c r="AC17" s="1777"/>
      <c r="AD17" s="531">
        <v>9604.7000000000007</v>
      </c>
      <c r="AE17" s="900"/>
      <c r="AF17" s="901"/>
      <c r="AG17" s="939">
        <f>ROUND(SUM(AA17-AD17),1)</f>
        <v>838.4</v>
      </c>
      <c r="AH17" s="736"/>
      <c r="AI17" s="266">
        <f>ROUND(IF(AD17=0,0,AG17/ABS(AD17)),3)</f>
        <v>8.6999999999999994E-2</v>
      </c>
      <c r="AJ17" s="1550"/>
    </row>
    <row r="18" spans="1:36" ht="6" customHeight="1">
      <c r="A18" s="412"/>
      <c r="B18" s="512"/>
      <c r="C18" s="531"/>
      <c r="D18" s="531"/>
      <c r="E18" s="531"/>
      <c r="F18" s="512"/>
      <c r="G18" s="291"/>
      <c r="H18" s="531"/>
      <c r="I18" s="736"/>
      <c r="J18" s="531"/>
      <c r="K18" s="736"/>
      <c r="L18" s="512"/>
      <c r="M18" s="736"/>
      <c r="N18" s="512"/>
      <c r="O18" s="736"/>
      <c r="P18" s="512"/>
      <c r="Q18" s="736"/>
      <c r="R18" s="512"/>
      <c r="S18" s="736"/>
      <c r="T18" s="512"/>
      <c r="U18" s="736"/>
      <c r="V18" s="512"/>
      <c r="W18" s="736"/>
      <c r="X18" s="512"/>
      <c r="Y18" s="1237"/>
      <c r="Z18" s="736"/>
      <c r="AA18" s="512"/>
      <c r="AB18" s="1238"/>
      <c r="AC18" s="899"/>
      <c r="AD18" s="512"/>
      <c r="AE18" s="900"/>
      <c r="AF18" s="901"/>
      <c r="AG18" s="939"/>
      <c r="AH18" s="736"/>
      <c r="AI18" s="266"/>
      <c r="AJ18" s="1550"/>
    </row>
    <row r="19" spans="1:36" ht="14.25" customHeight="1">
      <c r="A19" s="412" t="s">
        <v>354</v>
      </c>
      <c r="B19" s="13"/>
      <c r="C19" s="264"/>
      <c r="D19" s="531"/>
      <c r="E19" s="264"/>
      <c r="F19" s="512"/>
      <c r="G19" s="264"/>
      <c r="H19" s="531"/>
      <c r="I19" s="736"/>
      <c r="J19" s="531"/>
      <c r="K19" s="736"/>
      <c r="L19" s="512"/>
      <c r="M19" s="736"/>
      <c r="N19" s="512"/>
      <c r="O19" s="736"/>
      <c r="P19" s="512"/>
      <c r="Q19" s="736"/>
      <c r="R19" s="512"/>
      <c r="S19" s="736"/>
      <c r="T19" s="512"/>
      <c r="U19" s="736"/>
      <c r="V19" s="512"/>
      <c r="W19" s="736"/>
      <c r="X19" s="512"/>
      <c r="Y19" s="1237"/>
      <c r="Z19" s="736"/>
      <c r="AA19" s="13"/>
      <c r="AB19" s="1238"/>
      <c r="AC19" s="899"/>
      <c r="AD19" s="13"/>
      <c r="AE19" s="900"/>
      <c r="AF19" s="901"/>
      <c r="AG19" s="899"/>
      <c r="AH19" s="736"/>
      <c r="AI19" s="736"/>
      <c r="AJ19" s="1550"/>
    </row>
    <row r="20" spans="1:36" ht="14.25" customHeight="1">
      <c r="A20" s="284" t="s">
        <v>355</v>
      </c>
      <c r="B20" s="531">
        <v>802.5</v>
      </c>
      <c r="C20" s="531"/>
      <c r="D20" s="531">
        <v>812.09999999999991</v>
      </c>
      <c r="E20" s="531"/>
      <c r="F20" s="531">
        <f>$AA20-D20-B20</f>
        <v>1017.5</v>
      </c>
      <c r="G20" s="264"/>
      <c r="H20" s="531"/>
      <c r="I20" s="552"/>
      <c r="J20" s="531"/>
      <c r="K20" s="552"/>
      <c r="L20" s="531"/>
      <c r="M20" s="552"/>
      <c r="N20" s="531"/>
      <c r="O20" s="552"/>
      <c r="P20" s="512"/>
      <c r="Q20" s="552"/>
      <c r="R20" s="512"/>
      <c r="S20" s="552"/>
      <c r="T20" s="512"/>
      <c r="U20" s="552"/>
      <c r="V20" s="512"/>
      <c r="W20" s="552"/>
      <c r="X20" s="512"/>
      <c r="Y20" s="1237"/>
      <c r="Z20" s="736"/>
      <c r="AA20" s="1192">
        <v>2632.1</v>
      </c>
      <c r="AB20" s="287"/>
      <c r="AC20" s="1763"/>
      <c r="AD20" s="1192">
        <v>2434.3000000000002</v>
      </c>
      <c r="AE20" s="900"/>
      <c r="AF20" s="901"/>
      <c r="AG20" s="939">
        <f>ROUND(SUM(AA20-AD20),1)</f>
        <v>197.8</v>
      </c>
      <c r="AH20" s="736"/>
      <c r="AI20" s="266">
        <f>ROUND(IF(AD20=0,0,AG20/ABS(AD20)),3)</f>
        <v>8.1000000000000003E-2</v>
      </c>
      <c r="AJ20" s="1550"/>
    </row>
    <row r="21" spans="1:36" ht="14.25" customHeight="1">
      <c r="A21" s="83" t="s">
        <v>365</v>
      </c>
      <c r="B21" s="68">
        <f>ROUND(SUM(B20:B20),1)</f>
        <v>802.5</v>
      </c>
      <c r="C21" s="13"/>
      <c r="D21" s="68">
        <f>ROUND(SUM(D20:D20),1)</f>
        <v>812.1</v>
      </c>
      <c r="E21" s="13"/>
      <c r="F21" s="68">
        <f>ROUND(SUM(F20:F20),1)</f>
        <v>1017.5</v>
      </c>
      <c r="G21" s="13"/>
      <c r="H21" s="68">
        <f>ROUND(SUM(H20:H20),1)</f>
        <v>0</v>
      </c>
      <c r="I21" s="736"/>
      <c r="J21" s="68">
        <f>ROUND(SUM(J20:J20),1)</f>
        <v>0</v>
      </c>
      <c r="K21" s="736"/>
      <c r="L21" s="68">
        <f>ROUND(SUM(L20:L20),1)</f>
        <v>0</v>
      </c>
      <c r="M21" s="736"/>
      <c r="N21" s="68">
        <f>ROUND(SUM(N20:N20),1)</f>
        <v>0</v>
      </c>
      <c r="O21" s="736"/>
      <c r="P21" s="68">
        <f>ROUND(SUM(P20:P20),1)</f>
        <v>0</v>
      </c>
      <c r="Q21" s="13"/>
      <c r="R21" s="68">
        <f>ROUND(SUM(R20:R20),1)</f>
        <v>0</v>
      </c>
      <c r="S21" s="736"/>
      <c r="T21" s="68">
        <f>ROUND(SUM(T20:T20),1)</f>
        <v>0</v>
      </c>
      <c r="U21" s="736"/>
      <c r="V21" s="68">
        <f>ROUND(SUM(V20:V20),1)</f>
        <v>0</v>
      </c>
      <c r="W21" s="736"/>
      <c r="X21" s="68">
        <f>ROUND(SUM(X20:X20),1)</f>
        <v>0</v>
      </c>
      <c r="Y21" s="1237"/>
      <c r="Z21" s="736"/>
      <c r="AA21" s="68">
        <f>ROUND(SUM(AA20:AA20),1)</f>
        <v>2632.1</v>
      </c>
      <c r="AB21" s="1238"/>
      <c r="AC21" s="899"/>
      <c r="AD21" s="68">
        <f>ROUND(SUM(AD20:AD20),1)</f>
        <v>2434.3000000000002</v>
      </c>
      <c r="AE21" s="900"/>
      <c r="AF21" s="901"/>
      <c r="AG21" s="1098">
        <f>ROUND(SUM(AA21-AD21),1)</f>
        <v>197.8</v>
      </c>
      <c r="AH21" s="83"/>
      <c r="AI21" s="537">
        <f>ROUND(IF(AD21=0,0,AG21/ABS(AD21)),3)</f>
        <v>8.1000000000000003E-2</v>
      </c>
      <c r="AJ21" s="1550"/>
    </row>
    <row r="22" spans="1:36" ht="14.25" customHeight="1">
      <c r="A22" s="412" t="s">
        <v>366</v>
      </c>
      <c r="B22" s="13"/>
      <c r="C22" s="13"/>
      <c r="D22" s="13"/>
      <c r="E22" s="13"/>
      <c r="F22" s="13"/>
      <c r="G22" s="13"/>
      <c r="H22" s="13"/>
      <c r="I22" s="736"/>
      <c r="J22" s="13"/>
      <c r="K22" s="736"/>
      <c r="L22" s="13"/>
      <c r="M22" s="736"/>
      <c r="N22" s="13"/>
      <c r="O22" s="736"/>
      <c r="P22" s="13"/>
      <c r="Q22" s="736"/>
      <c r="R22" s="13"/>
      <c r="S22" s="736"/>
      <c r="T22" s="13"/>
      <c r="U22" s="736"/>
      <c r="V22" s="13"/>
      <c r="W22" s="736"/>
      <c r="X22" s="13"/>
      <c r="Y22" s="1237"/>
      <c r="Z22" s="736"/>
      <c r="AA22" s="13"/>
      <c r="AB22" s="1238"/>
      <c r="AC22" s="899"/>
      <c r="AD22" s="13"/>
      <c r="AE22" s="900"/>
      <c r="AF22" s="901"/>
      <c r="AG22" s="413"/>
      <c r="AH22" s="83"/>
      <c r="AI22" s="281"/>
      <c r="AJ22" s="1550"/>
    </row>
    <row r="23" spans="1:36" ht="14.25" customHeight="1">
      <c r="A23" s="284" t="s">
        <v>371</v>
      </c>
      <c r="B23" s="531">
        <v>24.4</v>
      </c>
      <c r="C23" s="264"/>
      <c r="D23" s="531">
        <v>118.1</v>
      </c>
      <c r="E23" s="264"/>
      <c r="F23" s="531">
        <f>$AA23-D23-B23</f>
        <v>2292.9</v>
      </c>
      <c r="G23" s="264"/>
      <c r="H23" s="531"/>
      <c r="I23" s="736"/>
      <c r="J23" s="531"/>
      <c r="K23" s="736"/>
      <c r="L23" s="531"/>
      <c r="M23" s="736"/>
      <c r="N23" s="531"/>
      <c r="O23" s="736"/>
      <c r="P23" s="512"/>
      <c r="Q23" s="736"/>
      <c r="R23" s="512"/>
      <c r="S23" s="736"/>
      <c r="T23" s="512"/>
      <c r="U23" s="736"/>
      <c r="V23" s="512"/>
      <c r="W23" s="736"/>
      <c r="X23" s="512"/>
      <c r="Y23" s="1237"/>
      <c r="Z23" s="736"/>
      <c r="AA23" s="531">
        <v>2435.4</v>
      </c>
      <c r="AB23" s="264"/>
      <c r="AC23" s="524" t="s">
        <v>103</v>
      </c>
      <c r="AD23" s="531">
        <v>1969.4</v>
      </c>
      <c r="AE23" s="900"/>
      <c r="AF23" s="901"/>
      <c r="AG23" s="939">
        <f>ROUND(SUM(AA23-AD23),1)</f>
        <v>466</v>
      </c>
      <c r="AH23" s="736"/>
      <c r="AI23" s="266">
        <f>ROUND(IF(AD23=0,1,AG23/ABS(AD23)),3)</f>
        <v>0.23699999999999999</v>
      </c>
      <c r="AJ23" s="1550"/>
    </row>
    <row r="24" spans="1:36" ht="14.25" customHeight="1">
      <c r="A24" s="83" t="s">
        <v>373</v>
      </c>
      <c r="B24" s="68">
        <f>ROUND(SUM(B23),1)</f>
        <v>24.4</v>
      </c>
      <c r="C24" s="13"/>
      <c r="D24" s="68">
        <f>ROUND(SUM(D23),1)</f>
        <v>118.1</v>
      </c>
      <c r="E24" s="13"/>
      <c r="F24" s="68">
        <f>ROUND(SUM(F23),1)</f>
        <v>2292.9</v>
      </c>
      <c r="G24" s="13"/>
      <c r="H24" s="68">
        <f>ROUND(SUM(H23),1)</f>
        <v>0</v>
      </c>
      <c r="I24" s="736"/>
      <c r="J24" s="68">
        <f>ROUND(SUM(J23),1)</f>
        <v>0</v>
      </c>
      <c r="K24" s="736"/>
      <c r="L24" s="68">
        <f>ROUND(SUM(L23),1)</f>
        <v>0</v>
      </c>
      <c r="M24" s="736"/>
      <c r="N24" s="68">
        <f>ROUND(SUM(N23),1)</f>
        <v>0</v>
      </c>
      <c r="O24" s="736"/>
      <c r="P24" s="68">
        <f>ROUND(SUM(P23),1)</f>
        <v>0</v>
      </c>
      <c r="Q24" s="13"/>
      <c r="R24" s="68">
        <f>ROUND(SUM(R23),1)</f>
        <v>0</v>
      </c>
      <c r="S24" s="736"/>
      <c r="T24" s="68">
        <f>ROUND(SUM(T23),1)</f>
        <v>0</v>
      </c>
      <c r="U24" s="736"/>
      <c r="V24" s="68">
        <f>ROUND(SUM(V23),1)</f>
        <v>0</v>
      </c>
      <c r="W24" s="736"/>
      <c r="X24" s="68">
        <f>ROUND(SUM(X23),1)</f>
        <v>0</v>
      </c>
      <c r="Y24" s="1237"/>
      <c r="Z24" s="736"/>
      <c r="AA24" s="68">
        <f>ROUND(SUM(AA23),1)</f>
        <v>2435.4</v>
      </c>
      <c r="AB24" s="1238"/>
      <c r="AC24" s="899"/>
      <c r="AD24" s="68">
        <f>ROUND(SUM(AD23),1)</f>
        <v>1969.4</v>
      </c>
      <c r="AE24" s="900"/>
      <c r="AF24" s="901"/>
      <c r="AG24" s="1098">
        <f>ROUND(SUM(AA24-AD24),1)</f>
        <v>466</v>
      </c>
      <c r="AH24" s="83"/>
      <c r="AI24" s="537">
        <f>ROUND(IF(AD24=0,1,AG24/ABS(AD24)),3)</f>
        <v>0.23699999999999999</v>
      </c>
      <c r="AJ24" s="1550"/>
    </row>
    <row r="25" spans="1:36" ht="14.25" customHeight="1">
      <c r="A25" s="412" t="s">
        <v>374</v>
      </c>
      <c r="B25" s="13"/>
      <c r="C25" s="13"/>
      <c r="D25" s="13"/>
      <c r="E25" s="13"/>
      <c r="F25" s="13"/>
      <c r="G25" s="13"/>
      <c r="H25" s="13"/>
      <c r="I25" s="736"/>
      <c r="J25" s="13"/>
      <c r="K25" s="736"/>
      <c r="L25" s="13"/>
      <c r="M25" s="736"/>
      <c r="N25" s="13"/>
      <c r="O25" s="736"/>
      <c r="P25" s="13"/>
      <c r="Q25" s="736"/>
      <c r="R25" s="13"/>
      <c r="S25" s="736"/>
      <c r="T25" s="13"/>
      <c r="U25" s="736"/>
      <c r="V25" s="13"/>
      <c r="W25" s="736"/>
      <c r="X25" s="13"/>
      <c r="Y25" s="1237"/>
      <c r="Z25" s="736"/>
      <c r="AA25" s="13"/>
      <c r="AB25" s="1238"/>
      <c r="AC25" s="899"/>
      <c r="AD25" s="13"/>
      <c r="AE25" s="900"/>
      <c r="AF25" s="901"/>
      <c r="AG25" s="899"/>
      <c r="AH25" s="736"/>
      <c r="AI25" s="736"/>
      <c r="AJ25" s="1550"/>
    </row>
    <row r="26" spans="1:36" ht="14.25" customHeight="1">
      <c r="A26" s="284" t="s">
        <v>378</v>
      </c>
      <c r="B26" s="531">
        <v>118.6</v>
      </c>
      <c r="C26" s="531"/>
      <c r="D26" s="531">
        <v>104.70000000000002</v>
      </c>
      <c r="E26" s="531"/>
      <c r="F26" s="531">
        <f>$AA26-D26-B26</f>
        <v>98.099999999999966</v>
      </c>
      <c r="G26" s="13"/>
      <c r="H26" s="531"/>
      <c r="I26" s="552"/>
      <c r="J26" s="531"/>
      <c r="K26" s="552"/>
      <c r="L26" s="531"/>
      <c r="M26" s="552"/>
      <c r="N26" s="531"/>
      <c r="O26" s="552"/>
      <c r="P26" s="512"/>
      <c r="Q26" s="552"/>
      <c r="R26" s="512"/>
      <c r="S26" s="552"/>
      <c r="T26" s="512"/>
      <c r="U26" s="552"/>
      <c r="V26" s="512"/>
      <c r="W26" s="552"/>
      <c r="X26" s="512"/>
      <c r="Y26" s="1237"/>
      <c r="Z26" s="736"/>
      <c r="AA26" s="531">
        <v>321.39999999999998</v>
      </c>
      <c r="AB26" s="264">
        <f>'Exhibit F'!AD1121</f>
        <v>0</v>
      </c>
      <c r="AC26" s="524" t="s">
        <v>103</v>
      </c>
      <c r="AD26" s="531">
        <v>290.8</v>
      </c>
      <c r="AE26" s="900"/>
      <c r="AF26" s="901"/>
      <c r="AG26" s="939">
        <f>ROUND(SUM(AA26-AD26),1)</f>
        <v>30.6</v>
      </c>
      <c r="AH26" s="736"/>
      <c r="AI26" s="266">
        <f>ROUND(IF(AD26=0,0,AG26/ABS(AD26)),3)</f>
        <v>0.105</v>
      </c>
      <c r="AJ26" s="1550"/>
    </row>
    <row r="27" spans="1:36" ht="14.25" customHeight="1">
      <c r="A27" s="420" t="s">
        <v>380</v>
      </c>
      <c r="B27" s="531">
        <v>0.1</v>
      </c>
      <c r="C27" s="264"/>
      <c r="D27" s="531">
        <v>0.1</v>
      </c>
      <c r="E27" s="264"/>
      <c r="F27" s="531">
        <f>$AA27-D27-B27</f>
        <v>0.20000000000000004</v>
      </c>
      <c r="G27" s="264"/>
      <c r="H27" s="531"/>
      <c r="I27" s="736"/>
      <c r="J27" s="531"/>
      <c r="K27" s="736"/>
      <c r="L27" s="531"/>
      <c r="M27" s="736"/>
      <c r="N27" s="531"/>
      <c r="O27" s="736"/>
      <c r="P27" s="512"/>
      <c r="Q27" s="736"/>
      <c r="R27" s="512"/>
      <c r="S27" s="736"/>
      <c r="T27" s="512"/>
      <c r="U27" s="736"/>
      <c r="V27" s="512"/>
      <c r="W27" s="736"/>
      <c r="X27" s="512"/>
      <c r="Y27" s="1237"/>
      <c r="Z27" s="736"/>
      <c r="AA27" s="531">
        <v>0.4</v>
      </c>
      <c r="AB27" s="264"/>
      <c r="AC27" s="524" t="s">
        <v>103</v>
      </c>
      <c r="AD27" s="531">
        <v>0.5</v>
      </c>
      <c r="AE27" s="900"/>
      <c r="AF27" s="901"/>
      <c r="AG27" s="939">
        <f>ROUND(SUM(AA27-AD27),1)</f>
        <v>-0.1</v>
      </c>
      <c r="AH27" s="736"/>
      <c r="AI27" s="266">
        <f>ROUND(IF(AD27=0,1,AG27/ABS(AD27)),3)</f>
        <v>-0.2</v>
      </c>
      <c r="AJ27" s="1550"/>
    </row>
    <row r="28" spans="1:36" ht="14.25" customHeight="1">
      <c r="A28" s="83" t="s">
        <v>381</v>
      </c>
      <c r="B28" s="1099">
        <f>ROUND(SUM(B26:B27),1)</f>
        <v>118.7</v>
      </c>
      <c r="C28" s="13"/>
      <c r="D28" s="68">
        <f>ROUND(SUM(D26:D27),1)</f>
        <v>104.8</v>
      </c>
      <c r="E28" s="13"/>
      <c r="F28" s="68">
        <f>ROUND(SUM(F26:F27),1)</f>
        <v>98.3</v>
      </c>
      <c r="G28" s="13"/>
      <c r="H28" s="68">
        <f>ROUND(SUM(H26:H27),1)</f>
        <v>0</v>
      </c>
      <c r="I28" s="736"/>
      <c r="J28" s="68">
        <f>ROUND(SUM(J26:J27),1)</f>
        <v>0</v>
      </c>
      <c r="K28" s="736"/>
      <c r="L28" s="68">
        <f>ROUND(SUM(L26:L27),1)</f>
        <v>0</v>
      </c>
      <c r="M28" s="736"/>
      <c r="N28" s="68">
        <f>ROUND(SUM(N26:N27),1)</f>
        <v>0</v>
      </c>
      <c r="O28" s="736"/>
      <c r="P28" s="68">
        <f>ROUND(SUM(P26:P27),1)</f>
        <v>0</v>
      </c>
      <c r="Q28" s="13"/>
      <c r="R28" s="68">
        <f>ROUND(SUM(R26:R27),1)</f>
        <v>0</v>
      </c>
      <c r="S28" s="736"/>
      <c r="T28" s="68">
        <f>ROUND(SUM(T26:T27),1)</f>
        <v>0</v>
      </c>
      <c r="U28" s="736"/>
      <c r="V28" s="68">
        <f>ROUND(SUM(V26:V27),1)</f>
        <v>0</v>
      </c>
      <c r="W28" s="736"/>
      <c r="X28" s="68">
        <f>ROUND(SUM(X26:X27),1)</f>
        <v>0</v>
      </c>
      <c r="Y28" s="1237"/>
      <c r="Z28" s="736"/>
      <c r="AA28" s="68">
        <f>ROUND(SUM(AA26:AA27),1)</f>
        <v>321.8</v>
      </c>
      <c r="AB28" s="1238"/>
      <c r="AC28" s="899"/>
      <c r="AD28" s="68">
        <f>ROUND(SUM(AD26:AD27),1)</f>
        <v>291.3</v>
      </c>
      <c r="AE28" s="900"/>
      <c r="AF28" s="901"/>
      <c r="AG28" s="1098">
        <f>ROUND(SUM(AA28-AD28),1)</f>
        <v>30.5</v>
      </c>
      <c r="AH28" s="83"/>
      <c r="AI28" s="537">
        <f>ROUND(IF(AD28=0,0,AG28/ABS(AD28)),3)</f>
        <v>0.105</v>
      </c>
      <c r="AJ28" s="1550"/>
    </row>
    <row r="29" spans="1:36" ht="14.25" customHeight="1">
      <c r="A29" s="83"/>
      <c r="B29" s="1099"/>
      <c r="C29" s="13"/>
      <c r="D29" s="13"/>
      <c r="E29" s="13"/>
      <c r="F29" s="13"/>
      <c r="G29" s="13"/>
      <c r="H29" s="13"/>
      <c r="I29" s="736"/>
      <c r="J29" s="13"/>
      <c r="K29" s="736"/>
      <c r="L29" s="13"/>
      <c r="M29" s="736"/>
      <c r="N29" s="13"/>
      <c r="O29" s="736"/>
      <c r="P29" s="13"/>
      <c r="Q29" s="736"/>
      <c r="R29" s="13"/>
      <c r="S29" s="736"/>
      <c r="T29" s="13"/>
      <c r="U29" s="736"/>
      <c r="V29" s="13"/>
      <c r="W29" s="736"/>
      <c r="X29" s="13"/>
      <c r="Y29" s="1237"/>
      <c r="Z29" s="736"/>
      <c r="AA29" s="1099"/>
      <c r="AB29" s="1238"/>
      <c r="AC29" s="899"/>
      <c r="AD29" s="1099"/>
      <c r="AE29" s="900"/>
      <c r="AF29" s="901"/>
      <c r="AG29" s="899"/>
      <c r="AH29" s="736"/>
      <c r="AI29" s="736"/>
      <c r="AJ29" s="1550"/>
    </row>
    <row r="30" spans="1:36" ht="14.25" customHeight="1">
      <c r="A30" s="83" t="s">
        <v>382</v>
      </c>
      <c r="B30" s="708">
        <f>ROUND(SUM(B17+B21+B24+B28),1)</f>
        <v>6172.8</v>
      </c>
      <c r="C30" s="264"/>
      <c r="D30" s="708">
        <f>ROUND(SUM(D17+D21+D24+D28),1)</f>
        <v>3059.5</v>
      </c>
      <c r="E30" s="264"/>
      <c r="F30" s="708">
        <f>ROUND(SUM(F17+F21+F24+F28),1)</f>
        <v>6600.1</v>
      </c>
      <c r="G30" s="264"/>
      <c r="H30" s="708">
        <f>ROUND(SUM(H17+H21+H24+H28),1)</f>
        <v>0</v>
      </c>
      <c r="I30" s="736"/>
      <c r="J30" s="1018">
        <f>ROUND(SUM(J17+J21+J24+J28),1)</f>
        <v>0</v>
      </c>
      <c r="K30" s="736"/>
      <c r="L30" s="1018">
        <f>ROUND(SUM(L17+L21+L24+L28),1)</f>
        <v>0</v>
      </c>
      <c r="M30" s="736"/>
      <c r="N30" s="1018">
        <f>ROUND(SUM(N17+N21+N24+N28),1)</f>
        <v>0</v>
      </c>
      <c r="O30" s="736"/>
      <c r="P30" s="1018">
        <f>ROUND(SUM(P17+P21+P24+P28),1)</f>
        <v>0</v>
      </c>
      <c r="Q30" s="670"/>
      <c r="R30" s="1018">
        <f>ROUND(SUM(R17+R21+R24+R28),1)</f>
        <v>0</v>
      </c>
      <c r="S30" s="736"/>
      <c r="T30" s="1018">
        <f>ROUND(SUM(T17+T21+T24+T28),1)</f>
        <v>0</v>
      </c>
      <c r="U30" s="736"/>
      <c r="V30" s="1018">
        <f>ROUND(SUM(V17+V21+V24+V28),1)</f>
        <v>0</v>
      </c>
      <c r="W30" s="736"/>
      <c r="X30" s="1018">
        <f>ROUND(SUM(X17+X21+X24+X28),1)</f>
        <v>0</v>
      </c>
      <c r="Y30" s="1237"/>
      <c r="Z30" s="736"/>
      <c r="AA30" s="1018">
        <f>ROUND(SUM(AA17+AA21+AA24+AA28),1)</f>
        <v>15832.4</v>
      </c>
      <c r="AB30" s="1238"/>
      <c r="AC30" s="899"/>
      <c r="AD30" s="1018">
        <f>ROUND(SUM(AD17+AD21+AD24+AD28),1)</f>
        <v>14299.7</v>
      </c>
      <c r="AE30" s="900"/>
      <c r="AF30" s="901"/>
      <c r="AG30" s="1018">
        <f>ROUND(SUM(AG17+AG21+AG24+AG28),1)</f>
        <v>1532.7</v>
      </c>
      <c r="AH30" s="83"/>
      <c r="AI30" s="538">
        <f>ROUND(IF(AD30=0,0,AG30/ABS(AD30)),3)</f>
        <v>0.107</v>
      </c>
      <c r="AJ30" s="1550"/>
    </row>
    <row r="31" spans="1:36" ht="14.25" customHeight="1">
      <c r="A31" s="1216"/>
      <c r="B31" s="264"/>
      <c r="C31" s="264"/>
      <c r="D31" s="264"/>
      <c r="E31" s="264"/>
      <c r="F31" s="264"/>
      <c r="G31" s="264"/>
      <c r="H31" s="264"/>
      <c r="I31" s="736"/>
      <c r="J31" s="264"/>
      <c r="K31" s="736"/>
      <c r="L31" s="264"/>
      <c r="M31" s="736"/>
      <c r="N31" s="264"/>
      <c r="O31" s="736"/>
      <c r="P31" s="264"/>
      <c r="Q31" s="736"/>
      <c r="R31" s="264"/>
      <c r="S31" s="736"/>
      <c r="T31" s="264"/>
      <c r="U31" s="736"/>
      <c r="V31" s="264"/>
      <c r="W31" s="736"/>
      <c r="X31" s="264"/>
      <c r="Y31" s="1237"/>
      <c r="Z31" s="736"/>
      <c r="AA31" s="264"/>
      <c r="AB31" s="1238"/>
      <c r="AC31" s="899"/>
      <c r="AD31" s="264"/>
      <c r="AE31" s="900"/>
      <c r="AF31" s="901"/>
      <c r="AG31" s="899"/>
      <c r="AH31" s="736"/>
      <c r="AI31" s="736"/>
      <c r="AJ31" s="1550"/>
    </row>
    <row r="32" spans="1:36" ht="14.25" customHeight="1">
      <c r="A32" s="1216" t="s">
        <v>383</v>
      </c>
      <c r="B32" s="666"/>
      <c r="C32" s="553"/>
      <c r="D32" s="553"/>
      <c r="E32" s="553"/>
      <c r="F32" s="553"/>
      <c r="G32" s="553"/>
      <c r="H32" s="553"/>
      <c r="I32" s="939"/>
      <c r="J32" s="939"/>
      <c r="K32" s="939"/>
      <c r="L32" s="939"/>
      <c r="M32" s="939"/>
      <c r="N32" s="939"/>
      <c r="O32" s="939"/>
      <c r="P32" s="939"/>
      <c r="Q32" s="939"/>
      <c r="R32" s="939"/>
      <c r="S32" s="939"/>
      <c r="T32" s="939"/>
      <c r="U32" s="939"/>
      <c r="V32" s="939"/>
      <c r="W32" s="939"/>
      <c r="X32" s="939"/>
      <c r="Y32" s="1239"/>
      <c r="Z32" s="939"/>
      <c r="AA32" s="666"/>
      <c r="AB32" s="1239"/>
      <c r="AC32" s="939"/>
      <c r="AD32" s="666"/>
      <c r="AE32" s="1058"/>
      <c r="AF32" s="938"/>
      <c r="AG32" s="939"/>
      <c r="AH32" s="736"/>
      <c r="AI32" s="1059"/>
      <c r="AJ32" s="1550"/>
    </row>
    <row r="33" spans="1:36" ht="14.25" customHeight="1">
      <c r="A33" s="350" t="s">
        <v>387</v>
      </c>
      <c r="B33" s="666"/>
      <c r="C33" s="553"/>
      <c r="D33" s="553"/>
      <c r="E33" s="553"/>
      <c r="F33" s="553"/>
      <c r="G33" s="553"/>
      <c r="H33" s="553"/>
      <c r="I33" s="939"/>
      <c r="J33" s="939"/>
      <c r="K33" s="939"/>
      <c r="L33" s="939"/>
      <c r="M33" s="939"/>
      <c r="N33" s="939"/>
      <c r="O33" s="939"/>
      <c r="P33" s="939"/>
      <c r="Q33" s="939"/>
      <c r="R33" s="939"/>
      <c r="S33" s="939"/>
      <c r="T33" s="939"/>
      <c r="U33" s="939"/>
      <c r="V33" s="939"/>
      <c r="W33" s="939"/>
      <c r="X33" s="939"/>
      <c r="Y33" s="1239"/>
      <c r="Z33" s="939"/>
      <c r="AA33" s="666"/>
      <c r="AB33" s="1239"/>
      <c r="AC33" s="939"/>
      <c r="AD33" s="666"/>
      <c r="AE33" s="1058"/>
      <c r="AF33" s="938"/>
      <c r="AG33" s="939"/>
      <c r="AH33" s="736"/>
      <c r="AI33" s="1059"/>
      <c r="AJ33" s="1550"/>
    </row>
    <row r="34" spans="1:36" ht="14.25" customHeight="1">
      <c r="A34" s="350" t="s">
        <v>389</v>
      </c>
      <c r="B34" s="531">
        <v>0</v>
      </c>
      <c r="C34" s="553"/>
      <c r="D34" s="531">
        <v>0</v>
      </c>
      <c r="E34" s="553"/>
      <c r="F34" s="531">
        <f>$AA34-D34-B34</f>
        <v>0</v>
      </c>
      <c r="G34" s="553"/>
      <c r="H34" s="531"/>
      <c r="I34" s="552"/>
      <c r="J34" s="531"/>
      <c r="K34" s="552"/>
      <c r="L34" s="531"/>
      <c r="M34" s="552"/>
      <c r="N34" s="531"/>
      <c r="O34" s="552"/>
      <c r="P34" s="512"/>
      <c r="Q34" s="552"/>
      <c r="R34" s="512"/>
      <c r="S34" s="552"/>
      <c r="T34" s="512"/>
      <c r="U34" s="552"/>
      <c r="V34" s="512"/>
      <c r="W34" s="552"/>
      <c r="X34" s="512"/>
      <c r="Y34" s="1237"/>
      <c r="Z34" s="736"/>
      <c r="AA34" s="531">
        <v>0</v>
      </c>
      <c r="AB34" s="264"/>
      <c r="AC34" s="524" t="s">
        <v>103</v>
      </c>
      <c r="AD34" s="531">
        <v>0</v>
      </c>
      <c r="AE34" s="1058"/>
      <c r="AF34" s="938"/>
      <c r="AG34" s="939">
        <f>ROUND(SUM(AA34-AD34),1)</f>
        <v>0</v>
      </c>
      <c r="AH34" s="736"/>
      <c r="AI34" s="266">
        <f>ROUND(IF(AD34=0,0,AG34/ABS(AD34)),3)</f>
        <v>0</v>
      </c>
      <c r="AJ34" s="1550"/>
    </row>
    <row r="35" spans="1:36" ht="14.25" customHeight="1">
      <c r="A35" s="350" t="s">
        <v>392</v>
      </c>
      <c r="B35" s="531"/>
      <c r="C35" s="553"/>
      <c r="D35" s="531"/>
      <c r="E35" s="553"/>
      <c r="F35" s="531"/>
      <c r="G35" s="553"/>
      <c r="H35" s="531"/>
      <c r="I35" s="552"/>
      <c r="J35" s="531"/>
      <c r="K35" s="552"/>
      <c r="L35" s="531"/>
      <c r="M35" s="552"/>
      <c r="N35" s="531"/>
      <c r="O35" s="552"/>
      <c r="P35" s="512"/>
      <c r="Q35" s="552"/>
      <c r="R35" s="512"/>
      <c r="S35" s="552"/>
      <c r="T35" s="512"/>
      <c r="U35" s="552"/>
      <c r="V35" s="512"/>
      <c r="W35" s="552"/>
      <c r="X35" s="512"/>
      <c r="Y35" s="1237"/>
      <c r="Z35" s="736"/>
      <c r="AA35" s="512" t="s">
        <v>103</v>
      </c>
      <c r="AB35" s="1238"/>
      <c r="AC35" s="899"/>
      <c r="AD35" s="512" t="s">
        <v>103</v>
      </c>
      <c r="AE35" s="1058"/>
      <c r="AF35" s="938"/>
      <c r="AG35" s="939"/>
      <c r="AH35" s="736"/>
      <c r="AI35" s="1059"/>
      <c r="AJ35" s="1550"/>
    </row>
    <row r="36" spans="1:36" ht="14.25" customHeight="1">
      <c r="A36" s="350" t="s">
        <v>393</v>
      </c>
      <c r="B36" s="531">
        <v>0</v>
      </c>
      <c r="C36" s="553"/>
      <c r="D36" s="531">
        <v>0</v>
      </c>
      <c r="E36" s="553"/>
      <c r="F36" s="531">
        <f t="shared" ref="F36:F50" si="0">$AA36-D36-B36</f>
        <v>0</v>
      </c>
      <c r="G36" s="553"/>
      <c r="H36" s="531"/>
      <c r="I36" s="552"/>
      <c r="J36" s="531"/>
      <c r="K36" s="552"/>
      <c r="L36" s="531"/>
      <c r="M36" s="552"/>
      <c r="N36" s="531"/>
      <c r="O36" s="552"/>
      <c r="P36" s="512"/>
      <c r="Q36" s="552"/>
      <c r="R36" s="512"/>
      <c r="S36" s="552"/>
      <c r="T36" s="512"/>
      <c r="U36" s="552"/>
      <c r="V36" s="512"/>
      <c r="W36" s="552"/>
      <c r="X36" s="512"/>
      <c r="Y36" s="1237"/>
      <c r="Z36" s="736"/>
      <c r="AA36" s="531">
        <v>0</v>
      </c>
      <c r="AB36" s="264"/>
      <c r="AC36" s="524" t="s">
        <v>103</v>
      </c>
      <c r="AD36" s="531">
        <v>0</v>
      </c>
      <c r="AE36" s="1058"/>
      <c r="AF36" s="938"/>
      <c r="AG36" s="939">
        <f t="shared" ref="AG36:AG46" si="1">ROUND(SUM(AA36-AD36),1)</f>
        <v>0</v>
      </c>
      <c r="AH36" s="736"/>
      <c r="AI36" s="266">
        <f t="shared" ref="AI36:AI46" si="2">ROUND(IF(AD36=0,0,AG36/ABS(AD36)),3)</f>
        <v>0</v>
      </c>
      <c r="AJ36" s="1550"/>
    </row>
    <row r="37" spans="1:36" ht="14.25" customHeight="1">
      <c r="A37" s="350" t="s">
        <v>395</v>
      </c>
      <c r="B37" s="531">
        <v>0</v>
      </c>
      <c r="C37" s="553"/>
      <c r="D37" s="531">
        <v>0</v>
      </c>
      <c r="E37" s="553"/>
      <c r="F37" s="531">
        <f t="shared" si="0"/>
        <v>0</v>
      </c>
      <c r="G37" s="553"/>
      <c r="H37" s="531"/>
      <c r="I37" s="552"/>
      <c r="J37" s="531"/>
      <c r="K37" s="552"/>
      <c r="L37" s="531"/>
      <c r="M37" s="552"/>
      <c r="N37" s="531"/>
      <c r="O37" s="552"/>
      <c r="P37" s="512"/>
      <c r="Q37" s="552"/>
      <c r="R37" s="512"/>
      <c r="S37" s="552"/>
      <c r="T37" s="512"/>
      <c r="U37" s="552"/>
      <c r="V37" s="512"/>
      <c r="W37" s="552"/>
      <c r="X37" s="512"/>
      <c r="Y37" s="1237"/>
      <c r="Z37" s="736"/>
      <c r="AA37" s="531">
        <v>0</v>
      </c>
      <c r="AB37" s="264"/>
      <c r="AC37" s="524" t="s">
        <v>103</v>
      </c>
      <c r="AD37" s="531">
        <v>0</v>
      </c>
      <c r="AE37" s="1058"/>
      <c r="AF37" s="938"/>
      <c r="AG37" s="939">
        <f t="shared" si="1"/>
        <v>0</v>
      </c>
      <c r="AH37" s="736"/>
      <c r="AI37" s="266">
        <f t="shared" si="2"/>
        <v>0</v>
      </c>
      <c r="AJ37" s="1550"/>
    </row>
    <row r="38" spans="1:36" ht="14.25" customHeight="1">
      <c r="A38" s="350" t="s">
        <v>396</v>
      </c>
      <c r="B38" s="531">
        <v>0</v>
      </c>
      <c r="C38" s="553"/>
      <c r="D38" s="531">
        <v>0</v>
      </c>
      <c r="E38" s="553"/>
      <c r="F38" s="531">
        <f t="shared" si="0"/>
        <v>0</v>
      </c>
      <c r="G38" s="553"/>
      <c r="H38" s="531"/>
      <c r="I38" s="552"/>
      <c r="J38" s="531"/>
      <c r="K38" s="552"/>
      <c r="L38" s="531"/>
      <c r="M38" s="552"/>
      <c r="N38" s="531"/>
      <c r="O38" s="552"/>
      <c r="P38" s="512"/>
      <c r="Q38" s="552"/>
      <c r="R38" s="512"/>
      <c r="S38" s="552"/>
      <c r="T38" s="512"/>
      <c r="U38" s="552"/>
      <c r="V38" s="512"/>
      <c r="W38" s="552"/>
      <c r="X38" s="512"/>
      <c r="Y38" s="1237"/>
      <c r="Z38" s="736"/>
      <c r="AA38" s="531">
        <v>0</v>
      </c>
      <c r="AB38" s="264"/>
      <c r="AC38" s="524" t="s">
        <v>103</v>
      </c>
      <c r="AD38" s="531">
        <v>0</v>
      </c>
      <c r="AE38" s="1058"/>
      <c r="AF38" s="938"/>
      <c r="AG38" s="939">
        <f t="shared" si="1"/>
        <v>0</v>
      </c>
      <c r="AH38" s="736"/>
      <c r="AI38" s="266">
        <f t="shared" si="2"/>
        <v>0</v>
      </c>
      <c r="AJ38" s="1550"/>
    </row>
    <row r="39" spans="1:36" ht="14.25" customHeight="1">
      <c r="A39" s="350" t="s">
        <v>397</v>
      </c>
      <c r="B39" s="531">
        <v>0</v>
      </c>
      <c r="C39" s="553"/>
      <c r="D39" s="531">
        <v>0</v>
      </c>
      <c r="E39" s="553"/>
      <c r="F39" s="531">
        <f t="shared" si="0"/>
        <v>0</v>
      </c>
      <c r="G39" s="553"/>
      <c r="H39" s="531"/>
      <c r="I39" s="552"/>
      <c r="J39" s="531"/>
      <c r="K39" s="552"/>
      <c r="L39" s="531"/>
      <c r="M39" s="552"/>
      <c r="N39" s="531"/>
      <c r="O39" s="552"/>
      <c r="P39" s="512"/>
      <c r="Q39" s="552"/>
      <c r="R39" s="512"/>
      <c r="S39" s="552"/>
      <c r="T39" s="512"/>
      <c r="U39" s="552"/>
      <c r="V39" s="512"/>
      <c r="W39" s="552"/>
      <c r="X39" s="512"/>
      <c r="Y39" s="1237"/>
      <c r="Z39" s="736"/>
      <c r="AA39" s="531">
        <v>0</v>
      </c>
      <c r="AB39" s="264"/>
      <c r="AC39" s="524" t="s">
        <v>103</v>
      </c>
      <c r="AD39" s="531">
        <v>0</v>
      </c>
      <c r="AE39" s="1058"/>
      <c r="AF39" s="938"/>
      <c r="AG39" s="939">
        <f t="shared" si="1"/>
        <v>0</v>
      </c>
      <c r="AH39" s="736"/>
      <c r="AI39" s="266">
        <f t="shared" si="2"/>
        <v>0</v>
      </c>
      <c r="AJ39" s="1550"/>
    </row>
    <row r="40" spans="1:36" ht="14.25" customHeight="1">
      <c r="A40" s="350" t="s">
        <v>398</v>
      </c>
      <c r="B40" s="531">
        <v>0</v>
      </c>
      <c r="C40" s="553"/>
      <c r="D40" s="531">
        <v>0</v>
      </c>
      <c r="E40" s="553"/>
      <c r="F40" s="531">
        <f t="shared" si="0"/>
        <v>0</v>
      </c>
      <c r="G40" s="553"/>
      <c r="H40" s="531"/>
      <c r="I40" s="552"/>
      <c r="J40" s="531"/>
      <c r="K40" s="552"/>
      <c r="L40" s="531"/>
      <c r="M40" s="552"/>
      <c r="N40" s="531"/>
      <c r="O40" s="552"/>
      <c r="P40" s="512"/>
      <c r="Q40" s="552"/>
      <c r="R40" s="512"/>
      <c r="S40" s="552"/>
      <c r="T40" s="512"/>
      <c r="U40" s="552"/>
      <c r="V40" s="512"/>
      <c r="W40" s="552"/>
      <c r="X40" s="512"/>
      <c r="Y40" s="1237"/>
      <c r="Z40" s="736"/>
      <c r="AA40" s="531">
        <v>0</v>
      </c>
      <c r="AB40" s="264"/>
      <c r="AC40" s="524" t="s">
        <v>103</v>
      </c>
      <c r="AD40" s="531">
        <v>0</v>
      </c>
      <c r="AE40" s="1058"/>
      <c r="AF40" s="938"/>
      <c r="AG40" s="939">
        <f>ROUND(SUM(AA40-AD40),1)</f>
        <v>0</v>
      </c>
      <c r="AH40" s="736"/>
      <c r="AI40" s="266">
        <f t="shared" si="2"/>
        <v>0</v>
      </c>
      <c r="AJ40" s="1550"/>
    </row>
    <row r="41" spans="1:36" ht="14.25" customHeight="1">
      <c r="A41" s="350" t="s">
        <v>399</v>
      </c>
      <c r="B41" s="531">
        <v>0</v>
      </c>
      <c r="C41" s="553"/>
      <c r="D41" s="531">
        <v>0</v>
      </c>
      <c r="E41" s="553"/>
      <c r="F41" s="531">
        <f t="shared" si="0"/>
        <v>0</v>
      </c>
      <c r="G41" s="553"/>
      <c r="H41" s="531"/>
      <c r="I41" s="552"/>
      <c r="J41" s="531"/>
      <c r="K41" s="552"/>
      <c r="L41" s="531"/>
      <c r="M41" s="552"/>
      <c r="N41" s="531"/>
      <c r="O41" s="552"/>
      <c r="P41" s="512"/>
      <c r="Q41" s="552"/>
      <c r="R41" s="512"/>
      <c r="S41" s="552"/>
      <c r="T41" s="512"/>
      <c r="U41" s="552"/>
      <c r="V41" s="512"/>
      <c r="W41" s="552"/>
      <c r="X41" s="512"/>
      <c r="Y41" s="1237"/>
      <c r="Z41" s="736"/>
      <c r="AA41" s="531">
        <v>0</v>
      </c>
      <c r="AB41" s="264"/>
      <c r="AC41" s="524" t="s">
        <v>103</v>
      </c>
      <c r="AD41" s="531">
        <v>0</v>
      </c>
      <c r="AE41" s="1058"/>
      <c r="AF41" s="938"/>
      <c r="AG41" s="939">
        <f t="shared" si="1"/>
        <v>0</v>
      </c>
      <c r="AH41" s="736"/>
      <c r="AI41" s="266">
        <f t="shared" si="2"/>
        <v>0</v>
      </c>
      <c r="AJ41" s="1550"/>
    </row>
    <row r="42" spans="1:36" ht="14.25" customHeight="1">
      <c r="A42" s="350" t="s">
        <v>406</v>
      </c>
      <c r="B42" s="531">
        <v>0</v>
      </c>
      <c r="C42" s="553"/>
      <c r="D42" s="531">
        <v>0</v>
      </c>
      <c r="E42" s="553"/>
      <c r="F42" s="531">
        <f t="shared" si="0"/>
        <v>0.1</v>
      </c>
      <c r="G42" s="553"/>
      <c r="H42" s="531"/>
      <c r="I42" s="552"/>
      <c r="J42" s="531"/>
      <c r="K42" s="552"/>
      <c r="L42" s="531"/>
      <c r="M42" s="552"/>
      <c r="N42" s="531"/>
      <c r="O42" s="552"/>
      <c r="P42" s="512"/>
      <c r="Q42" s="552"/>
      <c r="R42" s="512"/>
      <c r="S42" s="552"/>
      <c r="T42" s="512"/>
      <c r="U42" s="552"/>
      <c r="V42" s="512"/>
      <c r="W42" s="552"/>
      <c r="X42" s="512"/>
      <c r="Y42" s="1237"/>
      <c r="Z42" s="736"/>
      <c r="AA42" s="531">
        <v>0.1</v>
      </c>
      <c r="AB42" s="1232"/>
      <c r="AC42" s="264" t="s">
        <v>103</v>
      </c>
      <c r="AD42" s="531">
        <v>0.3</v>
      </c>
      <c r="AE42" s="1058"/>
      <c r="AF42" s="938"/>
      <c r="AG42" s="939">
        <f t="shared" si="1"/>
        <v>-0.2</v>
      </c>
      <c r="AH42" s="736"/>
      <c r="AI42" s="266">
        <f>ROUND(IF(AD42=0,1,AG42/ABS(AD42)),3)</f>
        <v>-0.66700000000000004</v>
      </c>
      <c r="AJ42" s="1550"/>
    </row>
    <row r="43" spans="1:36" ht="14.25" customHeight="1">
      <c r="A43" s="350" t="s">
        <v>407</v>
      </c>
      <c r="B43" s="531">
        <v>0</v>
      </c>
      <c r="C43" s="553"/>
      <c r="D43" s="531">
        <v>0</v>
      </c>
      <c r="E43" s="553"/>
      <c r="F43" s="531">
        <f t="shared" si="0"/>
        <v>0</v>
      </c>
      <c r="G43" s="553"/>
      <c r="H43" s="531"/>
      <c r="I43" s="552"/>
      <c r="J43" s="531"/>
      <c r="K43" s="552"/>
      <c r="L43" s="531"/>
      <c r="M43" s="552"/>
      <c r="N43" s="531"/>
      <c r="O43" s="552"/>
      <c r="P43" s="512"/>
      <c r="Q43" s="552"/>
      <c r="R43" s="512"/>
      <c r="S43" s="552"/>
      <c r="T43" s="512"/>
      <c r="U43" s="552"/>
      <c r="V43" s="512"/>
      <c r="W43" s="552"/>
      <c r="X43" s="512"/>
      <c r="Y43" s="1237"/>
      <c r="Z43" s="736"/>
      <c r="AA43" s="531">
        <v>0</v>
      </c>
      <c r="AB43" s="264"/>
      <c r="AC43" s="524" t="s">
        <v>103</v>
      </c>
      <c r="AD43" s="531">
        <v>0</v>
      </c>
      <c r="AE43" s="1058"/>
      <c r="AF43" s="938"/>
      <c r="AG43" s="939">
        <f>ROUND(SUM(AA43-AD43),1)</f>
        <v>0</v>
      </c>
      <c r="AH43" s="736"/>
      <c r="AI43" s="266">
        <f>ROUND(IF(AD43=0,0,AG43/ABS(AD43)),3)</f>
        <v>0</v>
      </c>
      <c r="AJ43" s="1550"/>
    </row>
    <row r="44" spans="1:36" ht="14.25" customHeight="1">
      <c r="A44" s="350" t="s">
        <v>408</v>
      </c>
      <c r="B44" s="531"/>
      <c r="C44" s="553"/>
      <c r="D44" s="531"/>
      <c r="E44" s="553"/>
      <c r="F44" s="531"/>
      <c r="G44" s="553"/>
      <c r="H44" s="531"/>
      <c r="I44" s="552"/>
      <c r="J44" s="531"/>
      <c r="K44" s="552"/>
      <c r="L44" s="531"/>
      <c r="M44" s="552"/>
      <c r="N44" s="531"/>
      <c r="O44" s="552"/>
      <c r="P44" s="512"/>
      <c r="Q44" s="552"/>
      <c r="R44" s="512"/>
      <c r="S44" s="552"/>
      <c r="T44" s="512"/>
      <c r="U44" s="552"/>
      <c r="V44" s="512"/>
      <c r="W44" s="552"/>
      <c r="X44" s="512"/>
      <c r="Y44" s="1237"/>
      <c r="Z44" s="736"/>
      <c r="AA44" s="512" t="s">
        <v>103</v>
      </c>
      <c r="AB44" s="1238"/>
      <c r="AC44" s="899" t="s">
        <v>103</v>
      </c>
      <c r="AD44" s="512" t="s">
        <v>103</v>
      </c>
      <c r="AE44" s="1058"/>
      <c r="AF44" s="938" t="s">
        <v>103</v>
      </c>
      <c r="AG44" s="939" t="s">
        <v>103</v>
      </c>
      <c r="AH44" s="736"/>
      <c r="AI44" s="266" t="s">
        <v>103</v>
      </c>
      <c r="AJ44" s="1550"/>
    </row>
    <row r="45" spans="1:36" ht="14.25" customHeight="1">
      <c r="A45" s="350" t="s">
        <v>494</v>
      </c>
      <c r="B45" s="531">
        <v>0</v>
      </c>
      <c r="C45" s="553"/>
      <c r="D45" s="531">
        <v>0</v>
      </c>
      <c r="E45" s="553"/>
      <c r="F45" s="531">
        <f t="shared" si="0"/>
        <v>0</v>
      </c>
      <c r="G45" s="553"/>
      <c r="H45" s="531"/>
      <c r="I45" s="552"/>
      <c r="J45" s="531"/>
      <c r="K45" s="552"/>
      <c r="L45" s="531"/>
      <c r="M45" s="552"/>
      <c r="N45" s="531"/>
      <c r="O45" s="552"/>
      <c r="P45" s="512"/>
      <c r="Q45" s="552"/>
      <c r="R45" s="512"/>
      <c r="S45" s="552"/>
      <c r="T45" s="512"/>
      <c r="U45" s="552"/>
      <c r="V45" s="512"/>
      <c r="W45" s="552"/>
      <c r="X45" s="512"/>
      <c r="Y45" s="1237"/>
      <c r="Z45" s="736"/>
      <c r="AA45" s="531">
        <v>0</v>
      </c>
      <c r="AB45" s="264"/>
      <c r="AC45" s="524"/>
      <c r="AD45" s="531">
        <v>0</v>
      </c>
      <c r="AE45" s="1058"/>
      <c r="AF45" s="938"/>
      <c r="AG45" s="939">
        <f>ROUND(SUM(AA45-AD45),1)</f>
        <v>0</v>
      </c>
      <c r="AH45" s="736"/>
      <c r="AI45" s="266">
        <f>ROUND(IF(AD45=0,0,AG45/ABS(AD45)),3)</f>
        <v>0</v>
      </c>
      <c r="AJ45" s="1550"/>
    </row>
    <row r="46" spans="1:36" ht="14.25" customHeight="1">
      <c r="A46" s="350" t="s">
        <v>413</v>
      </c>
      <c r="B46" s="531">
        <v>0</v>
      </c>
      <c r="C46" s="553"/>
      <c r="D46" s="531">
        <v>0</v>
      </c>
      <c r="E46" s="553"/>
      <c r="F46" s="531">
        <f t="shared" si="0"/>
        <v>0</v>
      </c>
      <c r="G46" s="553"/>
      <c r="H46" s="531"/>
      <c r="I46" s="552"/>
      <c r="J46" s="531"/>
      <c r="K46" s="552"/>
      <c r="L46" s="531"/>
      <c r="M46" s="552"/>
      <c r="N46" s="531"/>
      <c r="O46" s="552"/>
      <c r="P46" s="512"/>
      <c r="Q46" s="552"/>
      <c r="R46" s="512"/>
      <c r="S46" s="552"/>
      <c r="T46" s="512"/>
      <c r="U46" s="552"/>
      <c r="V46" s="512"/>
      <c r="W46" s="552"/>
      <c r="X46" s="512"/>
      <c r="Y46" s="1237"/>
      <c r="Z46" s="736"/>
      <c r="AA46" s="531">
        <v>0</v>
      </c>
      <c r="AB46" s="264"/>
      <c r="AC46" s="524" t="s">
        <v>103</v>
      </c>
      <c r="AD46" s="531">
        <v>0</v>
      </c>
      <c r="AE46" s="1058"/>
      <c r="AF46" s="938"/>
      <c r="AG46" s="939">
        <f t="shared" si="1"/>
        <v>0</v>
      </c>
      <c r="AH46" s="736"/>
      <c r="AI46" s="266">
        <f t="shared" si="2"/>
        <v>0</v>
      </c>
      <c r="AJ46" s="1550"/>
    </row>
    <row r="47" spans="1:36" ht="14.25" customHeight="1">
      <c r="A47" s="350" t="s">
        <v>414</v>
      </c>
      <c r="B47" s="531"/>
      <c r="C47" s="553"/>
      <c r="D47" s="531"/>
      <c r="E47" s="553"/>
      <c r="F47" s="531"/>
      <c r="G47" s="553"/>
      <c r="H47" s="531"/>
      <c r="I47" s="552"/>
      <c r="J47" s="531"/>
      <c r="K47" s="552"/>
      <c r="L47" s="531"/>
      <c r="M47" s="552"/>
      <c r="N47" s="531"/>
      <c r="O47" s="552"/>
      <c r="P47" s="512"/>
      <c r="Q47" s="552"/>
      <c r="R47" s="512"/>
      <c r="S47" s="552"/>
      <c r="T47" s="512"/>
      <c r="U47" s="552"/>
      <c r="V47" s="512"/>
      <c r="W47" s="552"/>
      <c r="X47" s="512"/>
      <c r="Y47" s="1237"/>
      <c r="Z47" s="736"/>
      <c r="AA47" s="512" t="s">
        <v>103</v>
      </c>
      <c r="AB47" s="1238"/>
      <c r="AC47" s="899"/>
      <c r="AD47" s="512" t="s">
        <v>103</v>
      </c>
      <c r="AE47" s="1058"/>
      <c r="AF47" s="938"/>
      <c r="AG47" s="939"/>
      <c r="AH47" s="736"/>
      <c r="AI47" s="1059"/>
      <c r="AJ47" s="1550"/>
    </row>
    <row r="48" spans="1:36" ht="14.25" customHeight="1">
      <c r="A48" s="350" t="s">
        <v>542</v>
      </c>
      <c r="B48" s="531">
        <v>83.5</v>
      </c>
      <c r="C48" s="553"/>
      <c r="D48" s="531">
        <v>52.400000000000006</v>
      </c>
      <c r="E48" s="553"/>
      <c r="F48" s="531">
        <f t="shared" si="0"/>
        <v>52.900000000000006</v>
      </c>
      <c r="G48" s="553"/>
      <c r="H48" s="531"/>
      <c r="I48" s="552"/>
      <c r="J48" s="531"/>
      <c r="K48" s="552"/>
      <c r="L48" s="531"/>
      <c r="M48" s="552"/>
      <c r="N48" s="531"/>
      <c r="O48" s="552"/>
      <c r="P48" s="512"/>
      <c r="Q48" s="552"/>
      <c r="R48" s="512"/>
      <c r="S48" s="552"/>
      <c r="T48" s="512"/>
      <c r="U48" s="552"/>
      <c r="V48" s="512"/>
      <c r="W48" s="552"/>
      <c r="X48" s="512"/>
      <c r="Y48" s="1237"/>
      <c r="Z48" s="736"/>
      <c r="AA48" s="531">
        <v>188.8</v>
      </c>
      <c r="AB48" s="264"/>
      <c r="AC48" s="524" t="s">
        <v>103</v>
      </c>
      <c r="AD48" s="531">
        <v>187</v>
      </c>
      <c r="AE48" s="1058"/>
      <c r="AF48" s="938"/>
      <c r="AG48" s="939">
        <f>ROUND(SUM(AA48-AD48),1)</f>
        <v>1.8</v>
      </c>
      <c r="AH48" s="736"/>
      <c r="AI48" s="542">
        <f>ROUND(IF(AD48=0,0,AG48/ABS(AD48)),3)</f>
        <v>0.01</v>
      </c>
      <c r="AJ48" s="1550"/>
    </row>
    <row r="49" spans="1:36" ht="14.25" customHeight="1">
      <c r="A49" s="350" t="s">
        <v>423</v>
      </c>
      <c r="B49" s="531">
        <v>0</v>
      </c>
      <c r="C49" s="553"/>
      <c r="D49" s="531">
        <v>0</v>
      </c>
      <c r="E49" s="553"/>
      <c r="F49" s="531">
        <f t="shared" si="0"/>
        <v>0</v>
      </c>
      <c r="G49" s="553"/>
      <c r="H49" s="531"/>
      <c r="I49" s="552"/>
      <c r="J49" s="531"/>
      <c r="K49" s="552"/>
      <c r="L49" s="531"/>
      <c r="M49" s="552"/>
      <c r="N49" s="531"/>
      <c r="O49" s="552"/>
      <c r="P49" s="512"/>
      <c r="Q49" s="552"/>
      <c r="R49" s="512"/>
      <c r="S49" s="552"/>
      <c r="T49" s="512"/>
      <c r="U49" s="552"/>
      <c r="V49" s="512"/>
      <c r="W49" s="552"/>
      <c r="X49" s="512"/>
      <c r="Y49" s="1237"/>
      <c r="Z49" s="736"/>
      <c r="AA49" s="531">
        <v>0</v>
      </c>
      <c r="AB49" s="264"/>
      <c r="AC49" s="524" t="s">
        <v>103</v>
      </c>
      <c r="AD49" s="531">
        <v>0</v>
      </c>
      <c r="AE49" s="1058"/>
      <c r="AF49" s="938"/>
      <c r="AG49" s="939">
        <f>ROUND(SUM(AA49-AD49),1)</f>
        <v>0</v>
      </c>
      <c r="AH49" s="736"/>
      <c r="AI49" s="266">
        <f>ROUND(IF(AD49=0,0,AG49/ABS(AD49)),3)</f>
        <v>0</v>
      </c>
      <c r="AJ49" s="1550"/>
    </row>
    <row r="50" spans="1:36" ht="14.25" customHeight="1">
      <c r="A50" s="350" t="s">
        <v>424</v>
      </c>
      <c r="B50" s="531">
        <v>0</v>
      </c>
      <c r="C50" s="553"/>
      <c r="D50" s="531">
        <v>0</v>
      </c>
      <c r="E50" s="553"/>
      <c r="F50" s="531">
        <f t="shared" si="0"/>
        <v>0</v>
      </c>
      <c r="G50" s="553"/>
      <c r="H50" s="531"/>
      <c r="I50" s="552"/>
      <c r="J50" s="531"/>
      <c r="K50" s="552"/>
      <c r="L50" s="531"/>
      <c r="M50" s="552"/>
      <c r="N50" s="531"/>
      <c r="O50" s="552"/>
      <c r="P50" s="512"/>
      <c r="Q50" s="552"/>
      <c r="R50" s="512"/>
      <c r="S50" s="552"/>
      <c r="T50" s="512"/>
      <c r="U50" s="552"/>
      <c r="V50" s="512"/>
      <c r="W50" s="552"/>
      <c r="X50" s="512"/>
      <c r="Y50" s="1237"/>
      <c r="Z50" s="736"/>
      <c r="AA50" s="531">
        <v>0</v>
      </c>
      <c r="AB50" s="264"/>
      <c r="AC50" s="524" t="s">
        <v>103</v>
      </c>
      <c r="AD50" s="531">
        <v>0</v>
      </c>
      <c r="AE50" s="1058"/>
      <c r="AF50" s="938"/>
      <c r="AG50" s="939">
        <f>ROUND(SUM(AA50-AD50),1)</f>
        <v>0</v>
      </c>
      <c r="AH50" s="736"/>
      <c r="AI50" s="266">
        <f>ROUND(IF(AD50=0,0,AG50/ABS(AD50)),3)</f>
        <v>0</v>
      </c>
      <c r="AJ50" s="1550"/>
    </row>
    <row r="51" spans="1:36" s="735" customFormat="1" ht="15.75">
      <c r="A51" s="83" t="s">
        <v>426</v>
      </c>
      <c r="B51" s="68">
        <f>ROUND(SUM(B34:B50),1)</f>
        <v>83.5</v>
      </c>
      <c r="C51" s="733"/>
      <c r="D51" s="68">
        <f>ROUND(SUM(D34:D50),1)</f>
        <v>52.4</v>
      </c>
      <c r="E51" s="733"/>
      <c r="F51" s="68">
        <f>ROUND(SUM(F34:F50),1)</f>
        <v>53</v>
      </c>
      <c r="G51" s="733"/>
      <c r="H51" s="68">
        <f>ROUND(SUM(H34:H50),1)</f>
        <v>0</v>
      </c>
      <c r="I51" s="413"/>
      <c r="J51" s="68">
        <f>ROUND(SUM(J34:J50),1)</f>
        <v>0</v>
      </c>
      <c r="K51" s="413"/>
      <c r="L51" s="68">
        <f>ROUND(SUM(L34:L50),1)</f>
        <v>0</v>
      </c>
      <c r="M51" s="413"/>
      <c r="N51" s="68">
        <f>ROUND(SUM(N34:N50),1)</f>
        <v>0</v>
      </c>
      <c r="O51" s="413"/>
      <c r="P51" s="68">
        <f>ROUND(SUM(P34:P50),1)</f>
        <v>0</v>
      </c>
      <c r="Q51" s="13"/>
      <c r="R51" s="68">
        <f>ROUND(SUM(R34:R50),1)</f>
        <v>0</v>
      </c>
      <c r="S51" s="413"/>
      <c r="T51" s="68">
        <f>ROUND(SUM(T34:T50),1)</f>
        <v>0</v>
      </c>
      <c r="U51" s="413"/>
      <c r="V51" s="68">
        <f>ROUND(SUM(V34:V50),1)</f>
        <v>0</v>
      </c>
      <c r="W51" s="413"/>
      <c r="X51" s="68">
        <f>ROUND(SUM(X34:X50),1)</f>
        <v>0</v>
      </c>
      <c r="Y51" s="1240"/>
      <c r="Z51" s="413"/>
      <c r="AA51" s="68">
        <f>ROUND(SUM(AA34:AA50),1)</f>
        <v>188.9</v>
      </c>
      <c r="AB51" s="1240"/>
      <c r="AC51" s="413"/>
      <c r="AD51" s="68">
        <f>ROUND(SUM(AD34:AD50),1)</f>
        <v>187.3</v>
      </c>
      <c r="AE51" s="1818"/>
      <c r="AF51" s="734"/>
      <c r="AG51" s="68">
        <f>ROUND(SUM(AG34:AG50),1)</f>
        <v>1.6</v>
      </c>
      <c r="AH51" s="83"/>
      <c r="AI51" s="1100">
        <f>ROUND(IF(AD51=0,0,AG51/ABS(AD51)),3)</f>
        <v>8.9999999999999993E-3</v>
      </c>
      <c r="AJ51" s="1550"/>
    </row>
    <row r="52" spans="1:36" s="735" customFormat="1" ht="14.25" customHeight="1">
      <c r="A52" s="83"/>
      <c r="B52" s="13"/>
      <c r="C52" s="733"/>
      <c r="D52" s="13"/>
      <c r="E52" s="733"/>
      <c r="F52" s="13"/>
      <c r="G52" s="733"/>
      <c r="H52" s="13"/>
      <c r="I52" s="413"/>
      <c r="J52" s="13"/>
      <c r="K52" s="413"/>
      <c r="L52" s="13"/>
      <c r="M52" s="413"/>
      <c r="N52" s="13"/>
      <c r="O52" s="413"/>
      <c r="P52" s="13"/>
      <c r="Q52" s="413"/>
      <c r="R52" s="13"/>
      <c r="S52" s="413"/>
      <c r="T52" s="13"/>
      <c r="U52" s="413"/>
      <c r="V52" s="13"/>
      <c r="W52" s="413"/>
      <c r="X52" s="13"/>
      <c r="Y52" s="1240"/>
      <c r="Z52" s="413"/>
      <c r="AA52" s="13"/>
      <c r="AB52" s="1240"/>
      <c r="AC52" s="413"/>
      <c r="AD52" s="13"/>
      <c r="AE52" s="1818"/>
      <c r="AF52" s="734"/>
      <c r="AG52" s="413"/>
      <c r="AH52" s="83"/>
      <c r="AI52" s="732"/>
      <c r="AJ52" s="1550"/>
    </row>
    <row r="53" spans="1:36" ht="15">
      <c r="A53" s="736" t="s">
        <v>543</v>
      </c>
      <c r="B53" s="531">
        <v>27.1</v>
      </c>
      <c r="C53" s="553"/>
      <c r="D53" s="531">
        <v>0</v>
      </c>
      <c r="E53" s="553"/>
      <c r="F53" s="531">
        <f>$AA53-D53-B53</f>
        <v>0</v>
      </c>
      <c r="G53" s="553"/>
      <c r="H53" s="531"/>
      <c r="I53" s="939"/>
      <c r="J53" s="531"/>
      <c r="K53" s="939"/>
      <c r="L53" s="531"/>
      <c r="M53" s="939"/>
      <c r="N53" s="531"/>
      <c r="O53" s="939"/>
      <c r="P53" s="512"/>
      <c r="Q53" s="939"/>
      <c r="R53" s="512"/>
      <c r="S53" s="939"/>
      <c r="T53" s="512"/>
      <c r="U53" s="939"/>
      <c r="V53" s="512"/>
      <c r="W53" s="939"/>
      <c r="X53" s="512"/>
      <c r="Y53" s="1239"/>
      <c r="Z53" s="939"/>
      <c r="AA53" s="985">
        <v>27.1</v>
      </c>
      <c r="AB53" s="264"/>
      <c r="AC53" s="524" t="s">
        <v>103</v>
      </c>
      <c r="AD53" s="985">
        <v>29.2</v>
      </c>
      <c r="AE53" s="1058"/>
      <c r="AF53" s="938"/>
      <c r="AG53" s="1060">
        <f>ROUND(SUM(AA53-AD53),1)</f>
        <v>-2.1</v>
      </c>
      <c r="AH53" s="736"/>
      <c r="AI53" s="533">
        <f>ROUND(IF(AD53=0,1,AG53/ABS(AD53)),3)</f>
        <v>-7.1999999999999995E-2</v>
      </c>
      <c r="AJ53" s="1550"/>
    </row>
    <row r="54" spans="1:36" ht="12" customHeight="1">
      <c r="A54" s="736"/>
      <c r="B54" s="1101"/>
      <c r="C54" s="553"/>
      <c r="D54" s="1101"/>
      <c r="E54" s="553"/>
      <c r="F54" s="1101"/>
      <c r="G54" s="553"/>
      <c r="H54" s="1101"/>
      <c r="I54" s="939"/>
      <c r="J54" s="1102"/>
      <c r="K54" s="939"/>
      <c r="L54" s="1102"/>
      <c r="M54" s="939"/>
      <c r="N54" s="1102"/>
      <c r="O54" s="939"/>
      <c r="P54" s="1102"/>
      <c r="Q54" s="939"/>
      <c r="R54" s="1102"/>
      <c r="S54" s="939"/>
      <c r="T54" s="1102"/>
      <c r="U54" s="939"/>
      <c r="V54" s="1102"/>
      <c r="W54" s="939"/>
      <c r="X54" s="1102"/>
      <c r="Y54" s="1239"/>
      <c r="Z54" s="939"/>
      <c r="AA54" s="553"/>
      <c r="AB54" s="1239"/>
      <c r="AC54" s="939"/>
      <c r="AD54" s="553"/>
      <c r="AE54" s="1058"/>
      <c r="AF54" s="938"/>
      <c r="AG54" s="939"/>
      <c r="AH54" s="736"/>
      <c r="AI54" s="736"/>
      <c r="AJ54" s="1550"/>
    </row>
    <row r="55" spans="1:36" ht="14.25" customHeight="1">
      <c r="A55" s="83" t="s">
        <v>544</v>
      </c>
      <c r="B55" s="608">
        <f>B30+B51+B53</f>
        <v>6283.4000000000005</v>
      </c>
      <c r="C55" s="733"/>
      <c r="D55" s="608">
        <f>D30+D51+D53</f>
        <v>3111.9</v>
      </c>
      <c r="E55" s="737"/>
      <c r="F55" s="608">
        <f>F30+F51+F53</f>
        <v>6653.1</v>
      </c>
      <c r="G55" s="737"/>
      <c r="H55" s="608">
        <f>H30+H51+H53</f>
        <v>0</v>
      </c>
      <c r="I55" s="738"/>
      <c r="J55" s="1061">
        <f>J30+J51+J53</f>
        <v>0</v>
      </c>
      <c r="K55" s="738"/>
      <c r="L55" s="1061">
        <f>L30+L51+L53</f>
        <v>0</v>
      </c>
      <c r="M55" s="738"/>
      <c r="N55" s="1061">
        <f>N30+N51+N53</f>
        <v>0</v>
      </c>
      <c r="O55" s="738"/>
      <c r="P55" s="1061">
        <f>P30+P51+P53</f>
        <v>0</v>
      </c>
      <c r="Q55" s="413"/>
      <c r="R55" s="1061">
        <f>R30+R51+R53</f>
        <v>0</v>
      </c>
      <c r="S55" s="738"/>
      <c r="T55" s="1061">
        <f>T30+T51+T53</f>
        <v>0</v>
      </c>
      <c r="U55" s="738"/>
      <c r="V55" s="1061">
        <f>V30+V51+V53</f>
        <v>0</v>
      </c>
      <c r="W55" s="738"/>
      <c r="X55" s="1061">
        <f>X30+X51+X53</f>
        <v>0</v>
      </c>
      <c r="Y55" s="1240"/>
      <c r="Z55" s="413"/>
      <c r="AA55" s="1061">
        <f>AA30+AA51+AA53</f>
        <v>16048.4</v>
      </c>
      <c r="AB55" s="1240"/>
      <c r="AC55" s="413"/>
      <c r="AD55" s="1061">
        <f>AD30+AD51+AD53</f>
        <v>14516.2</v>
      </c>
      <c r="AE55" s="1818"/>
      <c r="AF55" s="734"/>
      <c r="AG55" s="1061">
        <f>ROUND(SUM(AG30+AG51+AG53),1)</f>
        <v>1532.2</v>
      </c>
      <c r="AH55" s="83"/>
      <c r="AI55" s="538">
        <f>ROUND(IF(AD55=0,0,AG55/ABS(AD55)),3)</f>
        <v>0.106</v>
      </c>
      <c r="AJ55" s="1526"/>
    </row>
    <row r="56" spans="1:36" ht="19.5" customHeight="1">
      <c r="A56" s="736"/>
      <c r="B56" s="553"/>
      <c r="C56" s="553"/>
      <c r="D56" s="553"/>
      <c r="E56" s="553"/>
      <c r="F56" s="553"/>
      <c r="G56" s="553"/>
      <c r="H56" s="553"/>
      <c r="I56" s="939"/>
      <c r="J56" s="939"/>
      <c r="K56" s="939"/>
      <c r="L56" s="939"/>
      <c r="M56" s="939"/>
      <c r="N56" s="939"/>
      <c r="O56" s="939"/>
      <c r="P56" s="939"/>
      <c r="Q56" s="939"/>
      <c r="R56" s="939"/>
      <c r="S56" s="939"/>
      <c r="T56" s="939"/>
      <c r="U56" s="939"/>
      <c r="V56" s="939"/>
      <c r="W56" s="939"/>
      <c r="X56" s="939"/>
      <c r="Y56" s="1239"/>
      <c r="Z56" s="939"/>
      <c r="AA56" s="553"/>
      <c r="AB56" s="1239"/>
      <c r="AC56" s="939"/>
      <c r="AD56" s="553"/>
      <c r="AE56" s="1058"/>
      <c r="AF56" s="938"/>
      <c r="AG56" s="939"/>
      <c r="AH56" s="736"/>
      <c r="AI56" s="736"/>
      <c r="AJ56" s="1550"/>
    </row>
    <row r="57" spans="1:36" ht="15.75">
      <c r="A57" s="739" t="s">
        <v>545</v>
      </c>
      <c r="B57" s="553"/>
      <c r="C57" s="553"/>
      <c r="D57" s="553"/>
      <c r="E57" s="553"/>
      <c r="F57" s="553"/>
      <c r="G57" s="553"/>
      <c r="H57" s="553"/>
      <c r="I57" s="939"/>
      <c r="J57" s="939"/>
      <c r="K57" s="939"/>
      <c r="L57" s="939"/>
      <c r="M57" s="939"/>
      <c r="N57" s="939"/>
      <c r="O57" s="939"/>
      <c r="P57" s="939"/>
      <c r="Q57" s="939"/>
      <c r="R57" s="939"/>
      <c r="S57" s="939"/>
      <c r="T57" s="939"/>
      <c r="U57" s="939"/>
      <c r="V57" s="939"/>
      <c r="W57" s="939"/>
      <c r="X57" s="939"/>
      <c r="Y57" s="1239"/>
      <c r="Z57" s="939"/>
      <c r="AA57" s="553"/>
      <c r="AB57" s="1239"/>
      <c r="AC57" s="939"/>
      <c r="AD57" s="553"/>
      <c r="AE57" s="1058"/>
      <c r="AF57" s="938"/>
      <c r="AG57" s="939"/>
      <c r="AH57" s="736"/>
      <c r="AI57" s="736"/>
      <c r="AJ57" s="1550"/>
    </row>
    <row r="58" spans="1:36" ht="14.25" customHeight="1">
      <c r="A58" s="740" t="s">
        <v>453</v>
      </c>
      <c r="B58" s="553"/>
      <c r="C58" s="553"/>
      <c r="D58" s="553"/>
      <c r="E58" s="553"/>
      <c r="F58" s="553"/>
      <c r="G58" s="553"/>
      <c r="H58" s="553"/>
      <c r="I58" s="939"/>
      <c r="J58" s="939"/>
      <c r="K58" s="939"/>
      <c r="L58" s="939"/>
      <c r="M58" s="939"/>
      <c r="N58" s="939"/>
      <c r="O58" s="939"/>
      <c r="P58" s="939"/>
      <c r="Q58" s="939"/>
      <c r="R58" s="939"/>
      <c r="S58" s="939"/>
      <c r="T58" s="939"/>
      <c r="U58" s="939"/>
      <c r="V58" s="939"/>
      <c r="W58" s="939"/>
      <c r="X58" s="939"/>
      <c r="Y58" s="1239"/>
      <c r="Z58" s="939"/>
      <c r="AA58" s="553"/>
      <c r="AB58" s="1239"/>
      <c r="AC58" s="939"/>
      <c r="AD58" s="553"/>
      <c r="AE58" s="1058"/>
      <c r="AF58" s="938"/>
      <c r="AG58" s="939"/>
      <c r="AH58" s="736"/>
      <c r="AI58" s="736"/>
      <c r="AJ58" s="1550"/>
    </row>
    <row r="59" spans="1:36" ht="14.25" customHeight="1">
      <c r="A59" s="740" t="s">
        <v>137</v>
      </c>
      <c r="B59" s="531">
        <v>0.1</v>
      </c>
      <c r="C59" s="553"/>
      <c r="D59" s="531">
        <v>1.2999999999999998</v>
      </c>
      <c r="E59" s="1130"/>
      <c r="F59" s="531">
        <f>$AA59-D59-B59</f>
        <v>0</v>
      </c>
      <c r="G59" s="553"/>
      <c r="H59" s="531"/>
      <c r="I59" s="939"/>
      <c r="J59" s="531"/>
      <c r="K59" s="939"/>
      <c r="L59" s="531"/>
      <c r="M59" s="939"/>
      <c r="N59" s="531"/>
      <c r="O59" s="939"/>
      <c r="P59" s="512"/>
      <c r="Q59" s="939"/>
      <c r="R59" s="512"/>
      <c r="S59" s="939"/>
      <c r="T59" s="512"/>
      <c r="U59" s="939"/>
      <c r="V59" s="512"/>
      <c r="W59" s="939"/>
      <c r="X59" s="512"/>
      <c r="Y59" s="1239"/>
      <c r="Z59" s="939"/>
      <c r="AA59" s="531">
        <v>1.4</v>
      </c>
      <c r="AB59" s="264"/>
      <c r="AC59" s="524" t="s">
        <v>103</v>
      </c>
      <c r="AD59" s="531">
        <v>1.6</v>
      </c>
      <c r="AE59" s="1058"/>
      <c r="AF59" s="938"/>
      <c r="AG59" s="939">
        <f>ROUND(SUM(AA59-AD59),1)</f>
        <v>-0.2</v>
      </c>
      <c r="AH59" s="736"/>
      <c r="AI59" s="542">
        <f>ROUND(IF(AD59=0,1,AG59/ABS(AD59)),3)</f>
        <v>-0.125</v>
      </c>
      <c r="AJ59" s="1550"/>
    </row>
    <row r="60" spans="1:36" ht="14.25" customHeight="1">
      <c r="A60" s="740" t="s">
        <v>512</v>
      </c>
      <c r="B60" s="531"/>
      <c r="C60" s="553"/>
      <c r="D60" s="531"/>
      <c r="E60" s="553"/>
      <c r="F60" s="512"/>
      <c r="G60" s="553"/>
      <c r="H60" s="531"/>
      <c r="I60" s="939"/>
      <c r="J60" s="531"/>
      <c r="K60" s="939"/>
      <c r="L60" s="531"/>
      <c r="M60" s="939"/>
      <c r="N60" s="531"/>
      <c r="O60" s="939"/>
      <c r="P60" s="512"/>
      <c r="Q60" s="939"/>
      <c r="R60" s="512"/>
      <c r="S60" s="939"/>
      <c r="T60" s="512"/>
      <c r="U60" s="939"/>
      <c r="V60" s="512"/>
      <c r="W60" s="939"/>
      <c r="X60" s="512"/>
      <c r="Y60" s="1239"/>
      <c r="Z60" s="939"/>
      <c r="AA60" s="553" t="s">
        <v>230</v>
      </c>
      <c r="AB60" s="1239"/>
      <c r="AC60" s="939"/>
      <c r="AD60" s="553" t="s">
        <v>230</v>
      </c>
      <c r="AE60" s="1058"/>
      <c r="AF60" s="938"/>
      <c r="AG60" s="939"/>
      <c r="AH60" s="736"/>
      <c r="AI60" s="736"/>
      <c r="AJ60" s="1550"/>
    </row>
    <row r="61" spans="1:36" ht="14.25" customHeight="1">
      <c r="A61" s="741" t="s">
        <v>1459</v>
      </c>
      <c r="B61" s="531">
        <v>1.5</v>
      </c>
      <c r="C61" s="553"/>
      <c r="D61" s="531">
        <v>6</v>
      </c>
      <c r="E61" s="553"/>
      <c r="F61" s="531">
        <f>$AA61-D61-B61</f>
        <v>7.5</v>
      </c>
      <c r="G61" s="553"/>
      <c r="H61" s="531"/>
      <c r="I61" s="939"/>
      <c r="J61" s="531"/>
      <c r="K61" s="939"/>
      <c r="L61" s="531"/>
      <c r="M61" s="939"/>
      <c r="N61" s="531"/>
      <c r="O61" s="939"/>
      <c r="P61" s="512"/>
      <c r="Q61" s="939"/>
      <c r="R61" s="512"/>
      <c r="S61" s="939"/>
      <c r="T61" s="512"/>
      <c r="U61" s="939"/>
      <c r="V61" s="512"/>
      <c r="W61" s="939"/>
      <c r="X61" s="512"/>
      <c r="Y61" s="1239"/>
      <c r="Z61" s="939"/>
      <c r="AA61" s="985">
        <v>15</v>
      </c>
      <c r="AB61" s="264"/>
      <c r="AC61" s="524" t="s">
        <v>103</v>
      </c>
      <c r="AD61" s="985">
        <v>27.7</v>
      </c>
      <c r="AE61" s="1058"/>
      <c r="AF61" s="938"/>
      <c r="AG61" s="1062">
        <f>ROUND(SUM(AA61-AD61),1)</f>
        <v>-12.7</v>
      </c>
      <c r="AH61" s="736"/>
      <c r="AI61" s="533">
        <f>ROUND(IF(AD61=0,0,AG61/ABS(AD61)),3)</f>
        <v>-0.45800000000000002</v>
      </c>
      <c r="AJ61" s="1550"/>
    </row>
    <row r="62" spans="1:36" ht="15">
      <c r="A62" s="736"/>
      <c r="B62" s="1101"/>
      <c r="C62" s="553"/>
      <c r="D62" s="1101"/>
      <c r="E62" s="553"/>
      <c r="F62" s="1101"/>
      <c r="G62" s="553"/>
      <c r="H62" s="1101"/>
      <c r="I62" s="939"/>
      <c r="J62" s="1102"/>
      <c r="K62" s="939"/>
      <c r="L62" s="1102"/>
      <c r="M62" s="939"/>
      <c r="N62" s="1102"/>
      <c r="O62" s="939"/>
      <c r="P62" s="1102"/>
      <c r="Q62" s="939"/>
      <c r="R62" s="1102"/>
      <c r="S62" s="939"/>
      <c r="T62" s="1102"/>
      <c r="U62" s="939"/>
      <c r="V62" s="1102"/>
      <c r="W62" s="939"/>
      <c r="X62" s="1102"/>
      <c r="Y62" s="1239"/>
      <c r="Z62" s="939"/>
      <c r="AA62" s="553"/>
      <c r="AB62" s="1239"/>
      <c r="AC62" s="939"/>
      <c r="AD62" s="553"/>
      <c r="AE62" s="1058"/>
      <c r="AF62" s="938"/>
      <c r="AG62" s="939"/>
      <c r="AH62" s="736"/>
      <c r="AI62" s="736"/>
      <c r="AJ62" s="1550"/>
    </row>
    <row r="63" spans="1:36" ht="14.25" customHeight="1">
      <c r="A63" s="739" t="s">
        <v>546</v>
      </c>
      <c r="B63" s="608">
        <f>ROUND(SUM(B59:B61),1)</f>
        <v>1.6</v>
      </c>
      <c r="C63" s="733"/>
      <c r="D63" s="608">
        <f>ROUND(SUM(D59:D61),1)</f>
        <v>7.3</v>
      </c>
      <c r="E63" s="737"/>
      <c r="F63" s="608">
        <f>ROUND(SUM(F59:F61),1)</f>
        <v>7.5</v>
      </c>
      <c r="G63" s="737"/>
      <c r="H63" s="608">
        <f>ROUND(SUM(H59:H61),1)</f>
        <v>0</v>
      </c>
      <c r="I63" s="738"/>
      <c r="J63" s="1061">
        <f>ROUND(SUM(J59:J61),1)</f>
        <v>0</v>
      </c>
      <c r="K63" s="738"/>
      <c r="L63" s="1061">
        <f>ROUND(SUM(L59:L61),1)</f>
        <v>0</v>
      </c>
      <c r="M63" s="738"/>
      <c r="N63" s="1061">
        <f>ROUND(SUM(N59:N61),1)</f>
        <v>0</v>
      </c>
      <c r="O63" s="738"/>
      <c r="P63" s="1061">
        <f>ROUND(SUM(P59:P61),1)</f>
        <v>0</v>
      </c>
      <c r="Q63" s="413"/>
      <c r="R63" s="1061">
        <f>ROUND(SUM(R59:R61),1)</f>
        <v>0</v>
      </c>
      <c r="S63" s="738"/>
      <c r="T63" s="1061">
        <f>ROUND(SUM(T59:T61),1)</f>
        <v>0</v>
      </c>
      <c r="U63" s="738"/>
      <c r="V63" s="1061">
        <f>ROUND(SUM(V59:V61),1)</f>
        <v>0</v>
      </c>
      <c r="W63" s="738"/>
      <c r="X63" s="1061">
        <f>ROUND(SUM(X59:X61),1)</f>
        <v>0</v>
      </c>
      <c r="Y63" s="1240"/>
      <c r="Z63" s="413"/>
      <c r="AA63" s="1061">
        <f>ROUND(SUM(AA59:AA61),1)</f>
        <v>16.399999999999999</v>
      </c>
      <c r="AB63" s="1240"/>
      <c r="AC63" s="413"/>
      <c r="AD63" s="1061">
        <f>ROUND(SUM(AD59:AD61),1)</f>
        <v>29.3</v>
      </c>
      <c r="AE63" s="1818"/>
      <c r="AF63" s="734"/>
      <c r="AG63" s="1061">
        <f>ROUND(SUM(AG59:AG61),1)</f>
        <v>-12.9</v>
      </c>
      <c r="AH63" s="83"/>
      <c r="AI63" s="538">
        <f>ROUND(IF(AD63=0,0,AG63/ABS(AD63)),3)</f>
        <v>-0.44</v>
      </c>
      <c r="AJ63" s="1526"/>
    </row>
    <row r="64" spans="1:36" ht="12" customHeight="1">
      <c r="A64" s="736"/>
      <c r="B64" s="553"/>
      <c r="C64" s="553"/>
      <c r="D64" s="742"/>
      <c r="E64" s="742"/>
      <c r="F64" s="742"/>
      <c r="G64" s="742"/>
      <c r="H64" s="742"/>
      <c r="I64" s="1063"/>
      <c r="J64" s="1063"/>
      <c r="K64" s="1063"/>
      <c r="L64" s="1063"/>
      <c r="M64" s="1063"/>
      <c r="N64" s="1063"/>
      <c r="O64" s="1063"/>
      <c r="P64" s="1063"/>
      <c r="Q64" s="1063"/>
      <c r="R64" s="1063"/>
      <c r="S64" s="1063"/>
      <c r="T64" s="1063"/>
      <c r="U64" s="1063"/>
      <c r="V64" s="1063"/>
      <c r="W64" s="1063"/>
      <c r="X64" s="1063"/>
      <c r="Y64" s="1239"/>
      <c r="Z64" s="939"/>
      <c r="AA64" s="553"/>
      <c r="AB64" s="1239"/>
      <c r="AC64" s="939"/>
      <c r="AD64" s="553"/>
      <c r="AE64" s="1058"/>
      <c r="AF64" s="938"/>
      <c r="AG64" s="939"/>
      <c r="AH64" s="736"/>
      <c r="AI64" s="736"/>
      <c r="AJ64" s="1550"/>
    </row>
    <row r="65" spans="1:36" ht="14.25" customHeight="1">
      <c r="A65" s="739" t="s">
        <v>143</v>
      </c>
      <c r="B65" s="553"/>
      <c r="C65" s="553"/>
      <c r="D65" s="742"/>
      <c r="E65" s="742"/>
      <c r="F65" s="742"/>
      <c r="G65" s="742"/>
      <c r="H65" s="742"/>
      <c r="I65" s="1063"/>
      <c r="J65" s="1063"/>
      <c r="K65" s="1063"/>
      <c r="L65" s="1063"/>
      <c r="M65" s="1063"/>
      <c r="N65" s="1063"/>
      <c r="O65" s="1063"/>
      <c r="P65" s="1063"/>
      <c r="Q65" s="1063"/>
      <c r="R65" s="1063"/>
      <c r="S65" s="1063"/>
      <c r="T65" s="1063"/>
      <c r="U65" s="1063"/>
      <c r="V65" s="1063"/>
      <c r="W65" s="1063"/>
      <c r="X65" s="1063"/>
      <c r="Y65" s="1239"/>
      <c r="Z65" s="939"/>
      <c r="AA65" s="553"/>
      <c r="AB65" s="1239"/>
      <c r="AC65" s="939"/>
      <c r="AD65" s="553"/>
      <c r="AE65" s="1058"/>
      <c r="AF65" s="938"/>
      <c r="AG65" s="939"/>
      <c r="AH65" s="736"/>
      <c r="AI65" s="736"/>
      <c r="AJ65" s="1550"/>
    </row>
    <row r="66" spans="1:36" ht="14.25" customHeight="1">
      <c r="A66" s="83" t="s">
        <v>547</v>
      </c>
      <c r="B66" s="608">
        <f>ROUND(SUM(B55-B63),1)</f>
        <v>6281.8</v>
      </c>
      <c r="C66" s="733"/>
      <c r="D66" s="608">
        <f>ROUND(SUM(D55-D63),1)</f>
        <v>3104.6</v>
      </c>
      <c r="E66" s="737"/>
      <c r="F66" s="608">
        <f>ROUND(SUM(F55-F63),1)</f>
        <v>6645.6</v>
      </c>
      <c r="G66" s="737"/>
      <c r="H66" s="608">
        <f>ROUND(SUM(H55-H63),1)</f>
        <v>0</v>
      </c>
      <c r="I66" s="738"/>
      <c r="J66" s="1061">
        <f>ROUND(SUM(J55-J63),1)</f>
        <v>0</v>
      </c>
      <c r="K66" s="738"/>
      <c r="L66" s="1061">
        <f>ROUND(SUM(L55-L63),1)</f>
        <v>0</v>
      </c>
      <c r="M66" s="738"/>
      <c r="N66" s="1061">
        <f>ROUND(SUM(N55-N63),1)</f>
        <v>0</v>
      </c>
      <c r="O66" s="738"/>
      <c r="P66" s="1061">
        <f>ROUND(SUM(P55-P63),1)</f>
        <v>0</v>
      </c>
      <c r="Q66" s="413"/>
      <c r="R66" s="1061">
        <f>ROUND(SUM(R55-R63),1)</f>
        <v>0</v>
      </c>
      <c r="S66" s="738"/>
      <c r="T66" s="1061">
        <f>ROUND(SUM(T55-T63),1)</f>
        <v>0</v>
      </c>
      <c r="U66" s="738"/>
      <c r="V66" s="1061">
        <f>ROUND(SUM(V55-V63),1)</f>
        <v>0</v>
      </c>
      <c r="W66" s="738"/>
      <c r="X66" s="1061">
        <f>ROUND(SUM(X55-X63),1)</f>
        <v>0</v>
      </c>
      <c r="Y66" s="1240"/>
      <c r="Z66" s="413"/>
      <c r="AA66" s="1061">
        <f>ROUND(SUM(AA55-AA63),1)</f>
        <v>16032</v>
      </c>
      <c r="AB66" s="1240"/>
      <c r="AC66" s="413"/>
      <c r="AD66" s="1061">
        <f>ROUND(SUM(AD55-AD63),1)</f>
        <v>14486.9</v>
      </c>
      <c r="AE66" s="1818"/>
      <c r="AF66" s="734"/>
      <c r="AG66" s="1061">
        <f>ROUND(SUM(+AG55-AG63),1)</f>
        <v>1545.1</v>
      </c>
      <c r="AH66" s="83"/>
      <c r="AI66" s="538">
        <f>ROUND(IF(AD66=0,0,AG66/ABS(AD66)),3)</f>
        <v>0.107</v>
      </c>
      <c r="AJ66" s="1526"/>
    </row>
    <row r="67" spans="1:36" ht="19.5" customHeight="1">
      <c r="A67" s="736"/>
      <c r="B67" s="553"/>
      <c r="C67" s="553"/>
      <c r="D67" s="553"/>
      <c r="E67" s="553"/>
      <c r="F67" s="553"/>
      <c r="G67" s="553"/>
      <c r="H67" s="553"/>
      <c r="I67" s="939"/>
      <c r="J67" s="939"/>
      <c r="K67" s="939"/>
      <c r="L67" s="939"/>
      <c r="M67" s="939"/>
      <c r="N67" s="939"/>
      <c r="O67" s="939"/>
      <c r="P67" s="939"/>
      <c r="Q67" s="939"/>
      <c r="R67" s="939"/>
      <c r="S67" s="939"/>
      <c r="T67" s="939"/>
      <c r="U67" s="939"/>
      <c r="V67" s="939"/>
      <c r="W67" s="939"/>
      <c r="X67" s="939"/>
      <c r="Y67" s="1239"/>
      <c r="Z67" s="939"/>
      <c r="AA67" s="553"/>
      <c r="AB67" s="1239"/>
      <c r="AC67" s="939"/>
      <c r="AD67" s="553"/>
      <c r="AE67" s="1058"/>
      <c r="AF67" s="938"/>
      <c r="AG67" s="939"/>
      <c r="AH67" s="736"/>
      <c r="AI67" s="736"/>
      <c r="AJ67" s="1550"/>
    </row>
    <row r="68" spans="1:36" ht="14.25" customHeight="1">
      <c r="A68" s="739" t="s">
        <v>145</v>
      </c>
      <c r="B68" s="553"/>
      <c r="C68" s="553"/>
      <c r="D68" s="553"/>
      <c r="E68" s="553"/>
      <c r="F68" s="553"/>
      <c r="G68" s="553"/>
      <c r="H68" s="553"/>
      <c r="I68" s="939"/>
      <c r="J68" s="939"/>
      <c r="K68" s="939"/>
      <c r="L68" s="939"/>
      <c r="M68" s="939"/>
      <c r="N68" s="939"/>
      <c r="O68" s="939"/>
      <c r="P68" s="939"/>
      <c r="Q68" s="939"/>
      <c r="R68" s="939"/>
      <c r="S68" s="939"/>
      <c r="T68" s="939"/>
      <c r="U68" s="939"/>
      <c r="V68" s="939"/>
      <c r="W68" s="939"/>
      <c r="X68" s="939"/>
      <c r="Y68" s="1239"/>
      <c r="Z68" s="939"/>
      <c r="AA68" s="553"/>
      <c r="AB68" s="1239"/>
      <c r="AC68" s="939"/>
      <c r="AD68" s="553"/>
      <c r="AE68" s="1058"/>
      <c r="AF68" s="938"/>
      <c r="AG68" s="939"/>
      <c r="AH68" s="736"/>
      <c r="AI68" s="736"/>
      <c r="AJ68" s="1550"/>
    </row>
    <row r="69" spans="1:36" ht="14.25" customHeight="1">
      <c r="A69" s="740" t="s">
        <v>537</v>
      </c>
      <c r="B69" s="531">
        <v>243.8</v>
      </c>
      <c r="C69" s="553"/>
      <c r="D69" s="531">
        <v>32.899999999999977</v>
      </c>
      <c r="E69" s="553"/>
      <c r="F69" s="531">
        <f>$AA69-D69-B69</f>
        <v>207.2</v>
      </c>
      <c r="G69" s="553"/>
      <c r="H69" s="531"/>
      <c r="I69" s="939"/>
      <c r="J69" s="531"/>
      <c r="K69" s="939"/>
      <c r="L69" s="531"/>
      <c r="M69" s="939"/>
      <c r="N69" s="531"/>
      <c r="O69" s="939"/>
      <c r="P69" s="512"/>
      <c r="Q69" s="939"/>
      <c r="R69" s="512"/>
      <c r="S69" s="939"/>
      <c r="T69" s="512"/>
      <c r="U69" s="939"/>
      <c r="V69" s="512"/>
      <c r="W69" s="939"/>
      <c r="X69" s="512"/>
      <c r="Y69" s="1239"/>
      <c r="Z69" s="939"/>
      <c r="AA69" s="531">
        <v>483.9</v>
      </c>
      <c r="AB69" s="287"/>
      <c r="AC69" s="1763"/>
      <c r="AD69" s="531">
        <v>497.7</v>
      </c>
      <c r="AE69" s="1058"/>
      <c r="AF69" s="938"/>
      <c r="AG69" s="939">
        <f>ROUND(SUM(AA69-AD69),1)</f>
        <v>-13.8</v>
      </c>
      <c r="AH69" s="736"/>
      <c r="AI69" s="266">
        <f>ROUND(IF(AD69=0,0,AG69/ABS(AD69)),3)</f>
        <v>-2.8000000000000001E-2</v>
      </c>
      <c r="AJ69" s="1550"/>
    </row>
    <row r="70" spans="1:36" ht="14.25" customHeight="1">
      <c r="A70" s="740" t="s">
        <v>548</v>
      </c>
      <c r="B70" s="531">
        <v>-6368.0999999999995</v>
      </c>
      <c r="C70" s="553"/>
      <c r="D70" s="531">
        <v>-3129.2</v>
      </c>
      <c r="E70" s="553"/>
      <c r="F70" s="531">
        <f>$AA70-D70-B70</f>
        <v>-6865.1000000000013</v>
      </c>
      <c r="G70" s="553"/>
      <c r="H70" s="531"/>
      <c r="I70" s="939"/>
      <c r="J70" s="531"/>
      <c r="K70" s="939"/>
      <c r="L70" s="531"/>
      <c r="M70" s="939"/>
      <c r="N70" s="531"/>
      <c r="O70" s="939"/>
      <c r="P70" s="512"/>
      <c r="Q70" s="939"/>
      <c r="R70" s="512"/>
      <c r="S70" s="939"/>
      <c r="T70" s="512"/>
      <c r="U70" s="939"/>
      <c r="V70" s="512"/>
      <c r="W70" s="939"/>
      <c r="X70" s="512"/>
      <c r="Y70" s="1239"/>
      <c r="Z70" s="939"/>
      <c r="AA70" s="985">
        <v>-16362.4</v>
      </c>
      <c r="AB70" s="287"/>
      <c r="AC70" s="1763"/>
      <c r="AD70" s="985">
        <v>-14911.8</v>
      </c>
      <c r="AE70" s="1058"/>
      <c r="AF70" s="938"/>
      <c r="AG70" s="1062">
        <f>ROUND(SUM(-(AA70-AD70)),1)</f>
        <v>1450.6</v>
      </c>
      <c r="AH70" s="736"/>
      <c r="AI70" s="533">
        <f>ROUND(IF(AD70=0,0,AG70/ABS(AD70)),3)</f>
        <v>9.7000000000000003E-2</v>
      </c>
      <c r="AJ70" s="1550"/>
    </row>
    <row r="71" spans="1:36" ht="15">
      <c r="A71" s="736"/>
      <c r="B71" s="1102"/>
      <c r="C71" s="939"/>
      <c r="D71" s="1103"/>
      <c r="E71" s="939"/>
      <c r="F71" s="1103"/>
      <c r="G71" s="939"/>
      <c r="H71" s="1103"/>
      <c r="I71" s="939"/>
      <c r="J71" s="1103"/>
      <c r="K71" s="939"/>
      <c r="L71" s="1103"/>
      <c r="M71" s="939"/>
      <c r="N71" s="1103"/>
      <c r="O71" s="939"/>
      <c r="P71" s="1103"/>
      <c r="Q71" s="939"/>
      <c r="R71" s="1103"/>
      <c r="S71" s="939"/>
      <c r="T71" s="1103"/>
      <c r="U71" s="939"/>
      <c r="V71" s="1103"/>
      <c r="W71" s="939"/>
      <c r="X71" s="1103"/>
      <c r="Y71" s="1239"/>
      <c r="Z71" s="939"/>
      <c r="AA71" s="553"/>
      <c r="AB71" s="1239"/>
      <c r="AC71" s="939"/>
      <c r="AD71" s="553"/>
      <c r="AE71" s="1058"/>
      <c r="AF71" s="938"/>
      <c r="AG71" s="939"/>
      <c r="AH71" s="736"/>
      <c r="AI71" s="736"/>
      <c r="AJ71" s="1550"/>
    </row>
    <row r="72" spans="1:36" ht="14.25" customHeight="1">
      <c r="A72" s="739" t="s">
        <v>549</v>
      </c>
      <c r="B72" s="1018">
        <f>ROUND(SUM(B69:B70),1)</f>
        <v>-6124.3</v>
      </c>
      <c r="C72" s="413"/>
      <c r="D72" s="1018">
        <f>ROUND(SUM(D69:D70),1)</f>
        <v>-3096.3</v>
      </c>
      <c r="E72" s="738"/>
      <c r="F72" s="1018">
        <f>ROUND(SUM(F69:F70),1)</f>
        <v>-6657.9</v>
      </c>
      <c r="G72" s="738"/>
      <c r="H72" s="1018">
        <f>ROUND(SUM(H69:H70),1)</f>
        <v>0</v>
      </c>
      <c r="I72" s="738"/>
      <c r="J72" s="1018">
        <f>ROUND(SUM(J69:J70),1)</f>
        <v>0</v>
      </c>
      <c r="K72" s="738"/>
      <c r="L72" s="1018">
        <f>ROUND(SUM(L69:L70),1)</f>
        <v>0</v>
      </c>
      <c r="M72" s="738"/>
      <c r="N72" s="1018">
        <f>ROUND(SUM(N69:N70),1)</f>
        <v>0</v>
      </c>
      <c r="O72" s="738"/>
      <c r="P72" s="1018">
        <f>ROUND(SUM(P69:P70),1)</f>
        <v>0</v>
      </c>
      <c r="Q72" s="670"/>
      <c r="R72" s="1018">
        <f>ROUND(SUM(R69:R70),1)</f>
        <v>0</v>
      </c>
      <c r="S72" s="738"/>
      <c r="T72" s="1018">
        <f>ROUND(SUM(T69:T70),1)</f>
        <v>0</v>
      </c>
      <c r="U72" s="738"/>
      <c r="V72" s="1018">
        <f>ROUND(SUM(V69:V70),1)</f>
        <v>0</v>
      </c>
      <c r="W72" s="738"/>
      <c r="X72" s="1018">
        <f>ROUND(SUM(X69:X70),1)</f>
        <v>0</v>
      </c>
      <c r="Y72" s="1240"/>
      <c r="Z72" s="413"/>
      <c r="AA72" s="1018">
        <f>ROUND(SUM(AA69:AA70),1)</f>
        <v>-15878.5</v>
      </c>
      <c r="AB72" s="1240"/>
      <c r="AC72" s="413"/>
      <c r="AD72" s="1018">
        <f>ROUND(SUM(AD69:AD70),1)</f>
        <v>-14414.1</v>
      </c>
      <c r="AE72" s="1818"/>
      <c r="AF72" s="734"/>
      <c r="AG72" s="1018">
        <f>ROUND(SUM(AA72-AD72),1)</f>
        <v>-1464.4</v>
      </c>
      <c r="AH72" s="83"/>
      <c r="AI72" s="538">
        <f>ROUND(IF(AD72=0,0,AG72/ABS(AD72)),3)</f>
        <v>-0.10199999999999999</v>
      </c>
      <c r="AJ72" s="1526"/>
    </row>
    <row r="73" spans="1:36" ht="19.5" customHeight="1">
      <c r="A73" s="736"/>
      <c r="B73" s="939"/>
      <c r="C73" s="939"/>
      <c r="D73" s="1058"/>
      <c r="E73" s="939"/>
      <c r="F73" s="1058"/>
      <c r="G73" s="939"/>
      <c r="H73" s="1058"/>
      <c r="I73" s="939"/>
      <c r="J73" s="1058"/>
      <c r="K73" s="939"/>
      <c r="L73" s="1058"/>
      <c r="M73" s="939"/>
      <c r="N73" s="1058"/>
      <c r="O73" s="939"/>
      <c r="P73" s="1058"/>
      <c r="Q73" s="939"/>
      <c r="R73" s="1058"/>
      <c r="S73" s="939"/>
      <c r="T73" s="1058"/>
      <c r="U73" s="939"/>
      <c r="V73" s="1058"/>
      <c r="W73" s="939"/>
      <c r="X73" s="1058"/>
      <c r="Y73" s="1239"/>
      <c r="Z73" s="939"/>
      <c r="AA73" s="553"/>
      <c r="AB73" s="1239"/>
      <c r="AC73" s="939"/>
      <c r="AD73" s="553"/>
      <c r="AE73" s="1058"/>
      <c r="AF73" s="938"/>
      <c r="AG73" s="939"/>
      <c r="AH73" s="736"/>
      <c r="AI73" s="736"/>
      <c r="AJ73" s="1550"/>
    </row>
    <row r="74" spans="1:36" ht="14.25" customHeight="1">
      <c r="A74" s="83" t="s">
        <v>550</v>
      </c>
      <c r="B74" s="939"/>
      <c r="C74" s="939"/>
      <c r="D74" s="1063"/>
      <c r="E74" s="939"/>
      <c r="F74" s="1063"/>
      <c r="G74" s="939"/>
      <c r="H74" s="1063"/>
      <c r="I74" s="939"/>
      <c r="J74" s="1063"/>
      <c r="K74" s="939"/>
      <c r="L74" s="1063"/>
      <c r="M74" s="939"/>
      <c r="N74" s="1063"/>
      <c r="O74" s="939"/>
      <c r="P74" s="1063"/>
      <c r="Q74" s="939"/>
      <c r="R74" s="1063"/>
      <c r="S74" s="939"/>
      <c r="T74" s="1063"/>
      <c r="U74" s="939"/>
      <c r="V74" s="1063"/>
      <c r="W74" s="939"/>
      <c r="X74" s="1063"/>
      <c r="Y74" s="1239"/>
      <c r="Z74" s="939"/>
      <c r="AA74" s="553"/>
      <c r="AB74" s="1239"/>
      <c r="AC74" s="939"/>
      <c r="AD74" s="553"/>
      <c r="AE74" s="1058"/>
      <c r="AF74" s="938"/>
      <c r="AG74" s="939"/>
      <c r="AH74" s="736"/>
      <c r="AI74" s="736"/>
      <c r="AJ74" s="1550"/>
    </row>
    <row r="75" spans="1:36" ht="14.25" customHeight="1">
      <c r="A75" s="83" t="s">
        <v>551</v>
      </c>
      <c r="B75" s="939"/>
      <c r="C75" s="939"/>
      <c r="D75" s="1063"/>
      <c r="E75" s="939"/>
      <c r="F75" s="1063"/>
      <c r="G75" s="939"/>
      <c r="H75" s="1063"/>
      <c r="I75" s="939"/>
      <c r="J75" s="1063"/>
      <c r="K75" s="939"/>
      <c r="L75" s="1063"/>
      <c r="M75" s="939"/>
      <c r="N75" s="1063"/>
      <c r="O75" s="939"/>
      <c r="P75" s="1063"/>
      <c r="Q75" s="939"/>
      <c r="R75" s="1063"/>
      <c r="S75" s="939"/>
      <c r="T75" s="1063"/>
      <c r="U75" s="939"/>
      <c r="V75" s="1063"/>
      <c r="W75" s="939"/>
      <c r="X75" s="1063"/>
      <c r="Y75" s="1239"/>
      <c r="Z75" s="939"/>
      <c r="AA75" s="553"/>
      <c r="AB75" s="1239"/>
      <c r="AC75" s="939"/>
      <c r="AD75" s="553"/>
      <c r="AE75" s="1058"/>
      <c r="AF75" s="938"/>
      <c r="AG75" s="939"/>
      <c r="AH75" s="736"/>
      <c r="AI75" s="736"/>
      <c r="AJ75" s="1550"/>
    </row>
    <row r="76" spans="1:36" ht="14.25" customHeight="1">
      <c r="A76" s="83" t="s">
        <v>552</v>
      </c>
      <c r="B76" s="1061">
        <f>ROUND(SUM(+B66+B72),1)</f>
        <v>157.5</v>
      </c>
      <c r="C76" s="413"/>
      <c r="D76" s="1061">
        <f>ROUND(SUM(+D66+D72),1)</f>
        <v>8.3000000000000007</v>
      </c>
      <c r="E76" s="413"/>
      <c r="F76" s="1061">
        <f>ROUND(SUM(+F66+F72),1)</f>
        <v>-12.3</v>
      </c>
      <c r="G76" s="413"/>
      <c r="H76" s="1061">
        <f>ROUND(SUM(+H66+H72),1)</f>
        <v>0</v>
      </c>
      <c r="I76" s="413"/>
      <c r="J76" s="1061">
        <f>ROUND(SUM(+J66+J72),1)</f>
        <v>0</v>
      </c>
      <c r="K76" s="413"/>
      <c r="L76" s="1061">
        <f>ROUND(SUM(+L66+L72),1)</f>
        <v>0</v>
      </c>
      <c r="M76" s="413"/>
      <c r="N76" s="1061">
        <f>ROUND(SUM(+N66+N72),1)</f>
        <v>0</v>
      </c>
      <c r="O76" s="413"/>
      <c r="P76" s="1061">
        <f>ROUND(SUM(+P66+P72),1)</f>
        <v>0</v>
      </c>
      <c r="Q76" s="413"/>
      <c r="R76" s="1061">
        <f>ROUND(SUM(+R66+R72),1)</f>
        <v>0</v>
      </c>
      <c r="S76" s="413"/>
      <c r="T76" s="1061">
        <f>ROUND(SUM(+T66+T72),1)</f>
        <v>0</v>
      </c>
      <c r="U76" s="413"/>
      <c r="V76" s="1061">
        <f>ROUND(SUM(+V66+V72),1)</f>
        <v>0</v>
      </c>
      <c r="W76" s="413"/>
      <c r="X76" s="1061">
        <f>ROUND(SUM(+X66+X72),1)</f>
        <v>0</v>
      </c>
      <c r="Y76" s="1240"/>
      <c r="Z76" s="413"/>
      <c r="AA76" s="1061">
        <f>ROUND(SUM(+AA66+AA72),1)</f>
        <v>153.5</v>
      </c>
      <c r="AB76" s="1240"/>
      <c r="AC76" s="413"/>
      <c r="AD76" s="1061">
        <f>ROUND(SUM(+AD66+AD72),1)</f>
        <v>72.8</v>
      </c>
      <c r="AE76" s="1818"/>
      <c r="AF76" s="734"/>
      <c r="AG76" s="1061">
        <f>ROUND(SUM(+AG66+AG72),1)</f>
        <v>80.7</v>
      </c>
      <c r="AH76" s="83"/>
      <c r="AI76" s="539">
        <f>ROUND(IF(AD76=0,0,AG76/ABS(AD76)),3)</f>
        <v>1.109</v>
      </c>
      <c r="AJ76" s="1526"/>
    </row>
    <row r="77" spans="1:36" ht="15">
      <c r="A77" s="736"/>
      <c r="B77" s="899"/>
      <c r="C77" s="899"/>
      <c r="D77" s="1055"/>
      <c r="E77" s="899"/>
      <c r="F77" s="1104"/>
      <c r="G77" s="899"/>
      <c r="H77" s="1104"/>
      <c r="I77" s="899"/>
      <c r="J77" s="1104"/>
      <c r="K77" s="899"/>
      <c r="L77" s="1105"/>
      <c r="M77" s="899"/>
      <c r="N77" s="1104"/>
      <c r="O77" s="899"/>
      <c r="P77" s="1104"/>
      <c r="Q77" s="899"/>
      <c r="R77" s="1104"/>
      <c r="S77" s="899"/>
      <c r="T77" s="1104"/>
      <c r="U77" s="899"/>
      <c r="V77" s="1104"/>
      <c r="W77" s="899"/>
      <c r="X77" s="1104"/>
      <c r="Y77" s="1238"/>
      <c r="Z77" s="899"/>
      <c r="AA77" s="899" t="s">
        <v>103</v>
      </c>
      <c r="AB77" s="1238"/>
      <c r="AC77" s="899"/>
      <c r="AD77" s="1947"/>
      <c r="AE77" s="1055"/>
      <c r="AF77" s="901"/>
      <c r="AG77" s="899"/>
      <c r="AH77" s="736"/>
      <c r="AI77" s="736"/>
      <c r="AJ77" s="1550"/>
    </row>
    <row r="78" spans="1:36" ht="19.5" customHeight="1" thickBot="1">
      <c r="A78" s="83" t="s">
        <v>433</v>
      </c>
      <c r="B78" s="743">
        <f>ROUND(SUM(B13+B76),1)</f>
        <v>262.2</v>
      </c>
      <c r="C78" s="82"/>
      <c r="D78" s="743">
        <f>ROUND(SUM(D13+D76),1)</f>
        <v>270.5</v>
      </c>
      <c r="E78" s="82"/>
      <c r="F78" s="743">
        <f>ROUND(SUM(F13+F76),1)</f>
        <v>258.2</v>
      </c>
      <c r="G78" s="82"/>
      <c r="H78" s="743">
        <f>ROUND(SUM(H13+H76),1)</f>
        <v>0</v>
      </c>
      <c r="I78" s="82"/>
      <c r="J78" s="743">
        <f>ROUND(SUM(J13+J76),1)</f>
        <v>0</v>
      </c>
      <c r="K78" s="82"/>
      <c r="L78" s="743">
        <f>ROUND(SUM(L13+L76),1)</f>
        <v>0</v>
      </c>
      <c r="M78" s="82"/>
      <c r="N78" s="743">
        <f>ROUND(SUM(N13+N76),1)</f>
        <v>0</v>
      </c>
      <c r="O78" s="82"/>
      <c r="P78" s="743">
        <f>ROUND(SUM(P13+P76),1)</f>
        <v>0</v>
      </c>
      <c r="Q78" s="82"/>
      <c r="R78" s="743">
        <f>ROUND(SUM(R13+R76),1)</f>
        <v>0</v>
      </c>
      <c r="S78" s="82"/>
      <c r="T78" s="743">
        <f>ROUND(SUM(T13+T76),1)</f>
        <v>0</v>
      </c>
      <c r="U78" s="82"/>
      <c r="V78" s="743">
        <f>ROUND(SUM(V13+V76),1)</f>
        <v>0</v>
      </c>
      <c r="W78" s="82"/>
      <c r="X78" s="743">
        <f>ROUND(SUM(X13+X76),1)</f>
        <v>0</v>
      </c>
      <c r="Y78" s="1236"/>
      <c r="Z78" s="82"/>
      <c r="AA78" s="743">
        <f>ROUND(SUM(AA13+AA76),1)</f>
        <v>258.2</v>
      </c>
      <c r="AB78" s="1236"/>
      <c r="AC78" s="82"/>
      <c r="AD78" s="743">
        <f>ROUND(SUM(AD13+AD76),1)</f>
        <v>190.2</v>
      </c>
      <c r="AE78" s="1819"/>
      <c r="AF78" s="731"/>
      <c r="AG78" s="743">
        <f>ROUND(SUM(+AG13+AG76),1)</f>
        <v>68</v>
      </c>
      <c r="AH78" s="83"/>
      <c r="AI78" s="974">
        <f>ROUND(IF(AD78=0,0,AG78/ABS(AD78)),3)</f>
        <v>0.35799999999999998</v>
      </c>
      <c r="AJ78" s="1526"/>
    </row>
    <row r="79" spans="1:36" ht="14.25" customHeight="1" thickTop="1">
      <c r="A79" s="735"/>
      <c r="B79" s="744"/>
      <c r="C79" s="744"/>
      <c r="D79" s="744"/>
      <c r="F79" s="744"/>
      <c r="H79" s="745"/>
      <c r="J79" s="745"/>
      <c r="L79" s="745"/>
      <c r="N79" s="745"/>
      <c r="P79" s="745"/>
      <c r="R79" s="745"/>
      <c r="T79" s="745"/>
      <c r="U79" s="721"/>
      <c r="V79" s="745"/>
      <c r="W79" s="721"/>
      <c r="X79" s="745"/>
      <c r="Y79" s="744"/>
      <c r="Z79" s="744"/>
      <c r="AA79" s="744"/>
      <c r="AB79" s="744"/>
      <c r="AC79" s="744"/>
      <c r="AD79" s="744"/>
      <c r="AE79" s="746"/>
      <c r="AF79" s="744"/>
      <c r="AG79" s="744"/>
      <c r="AI79" s="747"/>
    </row>
    <row r="80" spans="1:36">
      <c r="L80" s="721"/>
      <c r="T80" s="748"/>
      <c r="U80" s="748"/>
      <c r="V80" s="748"/>
      <c r="W80" s="748"/>
      <c r="X80" s="748"/>
      <c r="AD80" s="749"/>
    </row>
    <row r="81" spans="1:24" ht="12" customHeight="1">
      <c r="A81" s="736"/>
      <c r="L81" s="721"/>
      <c r="R81" s="750"/>
      <c r="T81" s="744"/>
      <c r="V81" s="744"/>
      <c r="X81" s="744"/>
    </row>
    <row r="82" spans="1:24">
      <c r="B82" s="749"/>
      <c r="L82" s="721"/>
      <c r="R82" s="750"/>
      <c r="T82" s="744"/>
      <c r="V82" s="744"/>
      <c r="X82" s="744"/>
    </row>
  </sheetData>
  <customSheetViews>
    <customSheetView guid="{83D69B98-1714-4D17-901F-87B47BE66947}" scale="90" showPageBreaks="1" showGridLines="0" printArea="1" topLeftCell="A45">
      <selection activeCell="AA49" sqref="AA49"/>
      <rowBreaks count="1" manualBreakCount="1">
        <brk id="86" max="34" man="1"/>
      </rowBreaks>
      <pageMargins left="0.25" right="0.25" top="0.5" bottom="0.25" header="0.5" footer="0.25"/>
      <printOptions horizontalCentered="1"/>
      <pageSetup scale="48" firstPageNumber="28" orientation="landscape" useFirstPageNumber="1" r:id="rId1"/>
      <headerFooter scaleWithDoc="0" alignWithMargins="0">
        <oddFooter>&amp;C&amp;8&amp;P</oddFooter>
      </headerFooter>
    </customSheetView>
    <customSheetView guid="{F9AE1502-86F7-4AAA-AE66-F6A75A634C1B}"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2"/>
      <headerFooter scaleWithDoc="0" alignWithMargins="0">
        <oddFooter>&amp;C&amp;8&amp;P</oddFooter>
      </headerFooter>
    </customSheetView>
    <customSheetView guid="{C41E3923-0A88-49D0-AE43-0E74D386A056}"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3"/>
      <headerFooter scaleWithDoc="0" alignWithMargins="0">
        <oddFooter>&amp;C&amp;8&amp;P</oddFooter>
      </headerFooter>
    </customSheetView>
    <customSheetView guid="{1DF171D7-3BFC-49F6-B708-0F91FCFAB6E2}"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4"/>
      <headerFooter scaleWithDoc="0" alignWithMargins="0">
        <oddFooter>&amp;C&amp;8&amp;P</oddFooter>
      </headerFooter>
    </customSheetView>
    <customSheetView guid="{9F00D83C-7F4F-41B5-9976-8610D9EBC976}"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5"/>
      <headerFooter scaleWithDoc="0" alignWithMargins="0">
        <oddFooter>&amp;C&amp;8&amp;P</oddFooter>
      </headerFooter>
    </customSheetView>
    <customSheetView guid="{D1467C25-646C-4F1A-9353-0E890E575522}" scale="90" showPageBreaks="1" showGridLines="0" printArea="1" topLeftCell="A9">
      <selection activeCell="D18" sqref="D18"/>
      <rowBreaks count="1" manualBreakCount="1">
        <brk id="86" max="34" man="1"/>
      </rowBreaks>
      <pageMargins left="0.25" right="0.25" top="0.5" bottom="0.25" header="0.5" footer="0.25"/>
      <printOptions horizontalCentered="1"/>
      <pageSetup scale="48" firstPageNumber="28" orientation="landscape" useFirstPageNumber="1" r:id="rId6"/>
      <headerFooter scaleWithDoc="0" alignWithMargins="0">
        <oddFooter>&amp;C&amp;8&amp;P</oddFooter>
      </headerFooter>
    </customSheetView>
    <customSheetView guid="{3A50DD26-AAF5-43D4-97DE-BAE3367A2F29}" scale="90" showPageBreaks="1" showGridLines="0" printArea="1" topLeftCell="F1">
      <selection activeCell="H39" sqref="H39"/>
      <pageMargins left="0.25" right="0.25" top="0.5" bottom="0.25" header="0.5" footer="0.25"/>
      <printOptions horizontalCentered="1"/>
      <pageSetup scale="48" firstPageNumber="28" orientation="landscape" useFirstPageNumber="1" r:id="rId7"/>
      <headerFooter scaleWithDoc="0" alignWithMargins="0">
        <oddFooter>&amp;C&amp;8&amp;P</oddFooter>
      </headerFooter>
    </customSheetView>
    <customSheetView guid="{C3636880-B45B-4897-94F2-F91976416934}" scale="90" showPageBreaks="1" showGridLines="0" printArea="1" topLeftCell="A3">
      <selection activeCell="AD60" sqref="AD60"/>
      <rowBreaks count="1" manualBreakCount="1">
        <brk id="86" max="34" man="1"/>
      </rowBreaks>
      <pageMargins left="0.25" right="0.25" top="0.5" bottom="0.25" header="0.5" footer="0.25"/>
      <printOptions horizontalCentered="1"/>
      <pageSetup scale="48" firstPageNumber="28" orientation="landscape" useFirstPageNumber="1" r:id="rId8"/>
      <headerFooter scaleWithDoc="0" alignWithMargins="0">
        <oddFooter>&amp;C&amp;8&amp;P</oddFooter>
      </headerFooter>
    </customSheetView>
  </customSheetViews>
  <mergeCells count="2">
    <mergeCell ref="AB5:AD5"/>
    <mergeCell ref="Z9:AI9"/>
  </mergeCells>
  <printOptions horizontalCentered="1"/>
  <pageMargins left="0.25" right="0.25" top="0.5" bottom="0.25" header="0.5" footer="0.25"/>
  <pageSetup scale="48" firstPageNumber="28" orientation="landscape" useFirstPageNumber="1" r:id="rId9"/>
  <headerFooter scaleWithDoc="0" alignWithMargins="0">
    <oddFooter>&amp;C&amp;8&amp;P</oddFooter>
  </headerFooter>
  <rowBreaks count="1" manualBreakCount="1">
    <brk id="86" max="34" man="1"/>
  </rowBreaks>
  <customProperties>
    <customPr name="SheetOptions" r:id="rId10"/>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P109"/>
  <sheetViews>
    <sheetView showGridLines="0" zoomScale="90" zoomScaleNormal="90" workbookViewId="0"/>
  </sheetViews>
  <sheetFormatPr defaultColWidth="8.88671875" defaultRowHeight="15"/>
  <cols>
    <col min="1" max="1" width="2.5546875" style="23" customWidth="1"/>
    <col min="2" max="2" width="15.88671875" style="23" customWidth="1"/>
    <col min="3" max="3" width="25.109375" style="23" customWidth="1"/>
    <col min="4" max="4" width="2" style="23" customWidth="1"/>
    <col min="5" max="5" width="12.5546875" style="23" customWidth="1"/>
    <col min="6" max="6" width="1.88671875" style="23" customWidth="1"/>
    <col min="7" max="7" width="11.88671875" style="23" bestFit="1" customWidth="1"/>
    <col min="8" max="8" width="1.88671875" style="23" customWidth="1"/>
    <col min="9" max="9" width="11.44140625" style="23" bestFit="1" customWidth="1"/>
    <col min="10" max="10" width="1.88671875" style="23" customWidth="1"/>
    <col min="11" max="11" width="11.88671875" style="23" bestFit="1" customWidth="1"/>
    <col min="12" max="12" width="1.109375" style="23" customWidth="1"/>
    <col min="13" max="13" width="10.5546875" style="23" customWidth="1"/>
    <col min="14" max="14" width="1.88671875" style="23" customWidth="1"/>
    <col min="15" max="15" width="12.44140625" style="23" customWidth="1"/>
    <col min="16" max="16" width="1.88671875" style="23" customWidth="1"/>
    <col min="17" max="17" width="12.109375" style="23" customWidth="1"/>
    <col min="18" max="18" width="1.88671875" style="23" customWidth="1"/>
    <col min="19" max="19" width="12.109375" style="23" customWidth="1"/>
    <col min="20" max="20" width="1.88671875" style="23" customWidth="1"/>
    <col min="21" max="21" width="10.88671875" style="23" customWidth="1"/>
    <col min="22" max="22" width="1.88671875" style="23" customWidth="1"/>
    <col min="23" max="23" width="13.88671875" style="23" customWidth="1"/>
    <col min="24" max="24" width="1.88671875" style="23" customWidth="1"/>
    <col min="25" max="25" width="12.88671875" style="23" customWidth="1"/>
    <col min="26" max="26" width="1.88671875" style="23" customWidth="1"/>
    <col min="27" max="27" width="11.88671875" style="23" customWidth="1"/>
    <col min="28" max="28" width="1.44140625" style="23" customWidth="1"/>
    <col min="29" max="29" width="14.109375" style="23" customWidth="1"/>
    <col min="30" max="31" width="1.109375" style="23" customWidth="1"/>
    <col min="32" max="32" width="12.88671875" style="23" customWidth="1"/>
    <col min="33" max="34" width="1.109375" style="23" customWidth="1"/>
    <col min="35" max="35" width="12.88671875" style="23" customWidth="1"/>
    <col min="36" max="37" width="1.109375" style="23" customWidth="1"/>
    <col min="38" max="38" width="12.88671875" style="23" customWidth="1"/>
    <col min="39" max="39" width="1.109375" style="23" customWidth="1"/>
    <col min="40" max="40" width="12.88671875" style="23" customWidth="1"/>
    <col min="41" max="16384" width="8.88671875" style="23"/>
  </cols>
  <sheetData>
    <row r="1" spans="1:41">
      <c r="B1" s="265" t="s">
        <v>97</v>
      </c>
    </row>
    <row r="2" spans="1:41">
      <c r="B2" s="354"/>
    </row>
    <row r="3" spans="1:41"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N3" s="106" t="s">
        <v>553</v>
      </c>
    </row>
    <row r="4" spans="1:41" ht="19.5" customHeight="1">
      <c r="A4" s="84"/>
      <c r="B4" s="50" t="s">
        <v>554</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D4" s="86"/>
      <c r="AE4" s="86"/>
      <c r="AG4" s="87"/>
      <c r="AH4" s="87"/>
    </row>
    <row r="5" spans="1:41" ht="19.5" customHeight="1">
      <c r="A5" s="84"/>
      <c r="B5" s="81" t="s">
        <v>444</v>
      </c>
      <c r="C5" s="85"/>
      <c r="D5" s="85"/>
      <c r="E5" s="85"/>
      <c r="F5" s="86"/>
      <c r="G5" s="86"/>
      <c r="H5" s="86"/>
      <c r="I5" s="86"/>
      <c r="J5" s="86"/>
      <c r="K5" s="86"/>
      <c r="L5" s="86"/>
      <c r="M5" s="86"/>
      <c r="N5" s="86"/>
      <c r="O5" s="86"/>
      <c r="P5" s="86"/>
      <c r="Q5" s="86"/>
      <c r="R5" s="86"/>
      <c r="S5" s="86" t="s">
        <v>103</v>
      </c>
      <c r="T5" s="86"/>
      <c r="U5" s="86" t="s">
        <v>103</v>
      </c>
      <c r="V5" s="86"/>
      <c r="W5" s="86"/>
      <c r="X5" s="86"/>
      <c r="Y5" s="86"/>
      <c r="Z5" s="86"/>
      <c r="AA5" s="86"/>
      <c r="AB5" s="86"/>
      <c r="AC5" s="86"/>
      <c r="AD5" s="86"/>
      <c r="AE5" s="86"/>
      <c r="AF5" s="86"/>
      <c r="AG5" s="86"/>
      <c r="AH5" s="86"/>
      <c r="AI5" s="86"/>
      <c r="AJ5" s="86"/>
      <c r="AK5" s="86"/>
      <c r="AN5" s="72"/>
    </row>
    <row r="6" spans="1:41" ht="19.5" customHeight="1">
      <c r="A6" s="84"/>
      <c r="B6" s="540" t="str">
        <f>'Cashflow Governmental'!A6</f>
        <v>FISCAL YEAR 2026-2027</v>
      </c>
      <c r="C6" s="85"/>
      <c r="D6" s="85"/>
      <c r="E6" s="85"/>
      <c r="F6" s="86"/>
      <c r="G6" s="86"/>
      <c r="H6" s="1132"/>
      <c r="I6" s="86"/>
      <c r="J6" s="86"/>
      <c r="K6" s="86"/>
      <c r="L6" s="86"/>
      <c r="M6" s="86"/>
      <c r="N6" s="86"/>
      <c r="O6" s="86"/>
      <c r="P6" s="86"/>
      <c r="Q6" s="86"/>
      <c r="R6" s="86"/>
      <c r="S6" s="86" t="s">
        <v>103</v>
      </c>
      <c r="T6" s="86"/>
      <c r="U6" s="86"/>
      <c r="V6" s="86"/>
      <c r="W6" s="86"/>
      <c r="X6" s="86"/>
      <c r="Y6" s="86"/>
      <c r="Z6" s="86"/>
      <c r="AA6" s="86"/>
      <c r="AB6" s="86"/>
      <c r="AC6" s="86"/>
      <c r="AD6" s="86"/>
      <c r="AE6" s="86"/>
      <c r="AF6" s="86"/>
      <c r="AG6" s="88"/>
      <c r="AH6" s="88"/>
      <c r="AI6" s="88"/>
      <c r="AJ6" s="88"/>
      <c r="AK6" s="88"/>
    </row>
    <row r="7" spans="1:41" ht="19.5" customHeight="1">
      <c r="A7" s="84"/>
      <c r="B7" s="50" t="s">
        <v>555</v>
      </c>
      <c r="C7" s="85"/>
      <c r="D7" s="85"/>
      <c r="E7" s="85"/>
      <c r="F7" s="86"/>
      <c r="G7" s="86"/>
      <c r="H7" s="1132"/>
      <c r="I7" s="86"/>
      <c r="J7" s="86"/>
      <c r="K7" s="86"/>
      <c r="L7" s="86"/>
      <c r="M7" s="86"/>
      <c r="N7" s="86"/>
      <c r="O7" s="86"/>
      <c r="P7" s="86"/>
      <c r="Q7" s="86"/>
      <c r="R7" s="86"/>
      <c r="S7" s="86" t="s">
        <v>103</v>
      </c>
      <c r="T7" s="86"/>
      <c r="U7" s="86"/>
      <c r="V7" s="86"/>
      <c r="W7" s="86"/>
      <c r="X7" s="86"/>
      <c r="Y7" s="86"/>
      <c r="Z7" s="86"/>
      <c r="AA7" s="86"/>
      <c r="AB7" s="86"/>
      <c r="AC7" s="86"/>
      <c r="AD7" s="86"/>
      <c r="AE7" s="86"/>
      <c r="AF7" s="86"/>
      <c r="AG7" s="88"/>
      <c r="AH7" s="88"/>
      <c r="AI7" s="88"/>
      <c r="AJ7" s="88"/>
      <c r="AK7" s="88"/>
    </row>
    <row r="8" spans="1:41" ht="19.5" customHeight="1">
      <c r="A8" s="84"/>
      <c r="C8" s="85"/>
      <c r="D8" s="85"/>
      <c r="E8" s="85"/>
      <c r="F8" s="86"/>
      <c r="G8" s="86"/>
      <c r="H8" s="86"/>
      <c r="I8" s="86"/>
      <c r="J8" s="86"/>
      <c r="K8" s="86"/>
      <c r="L8" s="86"/>
      <c r="M8" s="86"/>
      <c r="N8" s="86"/>
      <c r="O8" s="86"/>
      <c r="P8" s="86"/>
      <c r="Q8" s="86"/>
      <c r="R8" s="86"/>
      <c r="S8" s="86" t="s">
        <v>103</v>
      </c>
      <c r="T8" s="86"/>
      <c r="U8" s="86"/>
      <c r="V8" s="86"/>
      <c r="W8" s="86"/>
      <c r="X8" s="86"/>
      <c r="Y8" s="86"/>
      <c r="Z8" s="86"/>
      <c r="AA8" s="86"/>
      <c r="AB8" s="86"/>
      <c r="AC8" s="86"/>
      <c r="AD8" s="86"/>
      <c r="AE8" s="89"/>
    </row>
    <row r="9" spans="1:41" ht="15.75" customHeight="1">
      <c r="A9" s="84"/>
      <c r="B9" s="90"/>
      <c r="C9" s="85"/>
      <c r="D9" s="85"/>
      <c r="E9" s="1196"/>
      <c r="F9" s="322"/>
      <c r="G9" s="322"/>
      <c r="H9" s="322"/>
      <c r="I9" s="322"/>
      <c r="J9" s="322"/>
      <c r="K9" s="322"/>
      <c r="L9" s="322"/>
      <c r="M9" s="322"/>
      <c r="N9" s="322"/>
      <c r="O9" s="322"/>
      <c r="P9" s="322"/>
      <c r="Q9" s="322"/>
      <c r="R9" s="322"/>
      <c r="S9" s="322"/>
      <c r="T9" s="322"/>
      <c r="U9" s="322"/>
      <c r="V9" s="322"/>
      <c r="W9" s="322"/>
      <c r="X9" s="322"/>
      <c r="Y9" s="322"/>
      <c r="Z9" s="322"/>
      <c r="AA9" s="322"/>
      <c r="AB9" s="322"/>
      <c r="AC9" s="52" t="s">
        <v>475</v>
      </c>
      <c r="AD9" s="322"/>
      <c r="AE9" s="2065" t="str">
        <f>'Cashflow Governmental'!$AB$12</f>
        <v>3 Months Ended June 30</v>
      </c>
      <c r="AF9" s="2065"/>
      <c r="AG9" s="2065"/>
      <c r="AH9" s="2065"/>
      <c r="AI9" s="2065"/>
      <c r="AJ9" s="2065"/>
      <c r="AK9" s="2065"/>
      <c r="AL9" s="2065"/>
      <c r="AM9" s="2065"/>
      <c r="AN9" s="2065"/>
    </row>
    <row r="10" spans="1:41"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52" t="s">
        <v>476</v>
      </c>
      <c r="AD10" s="323"/>
      <c r="AE10" s="323"/>
      <c r="AF10" s="323"/>
      <c r="AG10" s="323"/>
      <c r="AH10" s="323"/>
      <c r="AI10" s="323"/>
      <c r="AJ10" s="323"/>
      <c r="AK10" s="323"/>
      <c r="AL10" s="320" t="s">
        <v>110</v>
      </c>
      <c r="AM10" s="320"/>
      <c r="AN10" s="318" t="s">
        <v>111</v>
      </c>
      <c r="AO10" s="3"/>
    </row>
    <row r="11" spans="1:41" ht="15.75" customHeight="1">
      <c r="A11" s="291"/>
      <c r="B11" s="291"/>
      <c r="C11" s="291"/>
      <c r="D11" s="291"/>
      <c r="E11" s="1217" t="s">
        <v>329</v>
      </c>
      <c r="F11" s="3"/>
      <c r="G11" s="1217" t="s">
        <v>330</v>
      </c>
      <c r="H11" s="3"/>
      <c r="I11" s="1217" t="s">
        <v>331</v>
      </c>
      <c r="J11" s="3"/>
      <c r="K11" s="1217" t="s">
        <v>332</v>
      </c>
      <c r="L11" s="3"/>
      <c r="M11" s="1217" t="s">
        <v>333</v>
      </c>
      <c r="N11" s="3"/>
      <c r="O11" s="1217" t="s">
        <v>445</v>
      </c>
      <c r="P11" s="3"/>
      <c r="Q11" s="1217" t="s">
        <v>446</v>
      </c>
      <c r="R11" s="3"/>
      <c r="S11" s="1217" t="s">
        <v>336</v>
      </c>
      <c r="T11" s="3"/>
      <c r="U11" s="1217" t="s">
        <v>337</v>
      </c>
      <c r="V11" s="3"/>
      <c r="W11" s="1217" t="s">
        <v>338</v>
      </c>
      <c r="X11" s="3"/>
      <c r="Y11" s="1217" t="s">
        <v>339</v>
      </c>
      <c r="Z11" s="3"/>
      <c r="AA11" s="1217" t="s">
        <v>447</v>
      </c>
      <c r="AB11" s="52"/>
      <c r="AC11" s="1217" t="s">
        <v>477</v>
      </c>
      <c r="AD11" s="3"/>
      <c r="AE11" s="3"/>
      <c r="AF11" s="1217" t="str">
        <f>'Cashflow Governmental'!AB14</f>
        <v>2026</v>
      </c>
      <c r="AG11" s="3"/>
      <c r="AH11" s="3"/>
      <c r="AI11" s="1217" t="str">
        <f>'Cashflow Governmental'!AE14</f>
        <v>2025</v>
      </c>
      <c r="AJ11" s="52"/>
      <c r="AK11" s="52"/>
      <c r="AL11" s="415" t="s">
        <v>112</v>
      </c>
      <c r="AM11" s="320"/>
      <c r="AN11" s="415" t="s">
        <v>113</v>
      </c>
      <c r="AO11" s="3"/>
    </row>
    <row r="12" spans="1:41" ht="6"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40"/>
    </row>
    <row r="13" spans="1:41" ht="15.75" customHeight="1">
      <c r="A13" s="291"/>
      <c r="B13" s="1216" t="s">
        <v>556</v>
      </c>
      <c r="C13" s="3"/>
      <c r="D13" s="291"/>
      <c r="E13" s="82">
        <f>'Exhibit I State'!E13+'Exhibit I Federal'!E13</f>
        <v>-2483.1</v>
      </c>
      <c r="F13" s="20"/>
      <c r="G13" s="20">
        <f>E100</f>
        <v>-2574.5</v>
      </c>
      <c r="H13" s="20"/>
      <c r="I13" s="20">
        <f>G100</f>
        <v>-2791.7</v>
      </c>
      <c r="J13" s="20"/>
      <c r="K13" s="20"/>
      <c r="L13" s="20"/>
      <c r="M13" s="20"/>
      <c r="N13" s="20"/>
      <c r="O13" s="20"/>
      <c r="P13" s="20"/>
      <c r="Q13" s="20"/>
      <c r="R13" s="20"/>
      <c r="S13" s="20"/>
      <c r="T13" s="20"/>
      <c r="U13" s="20"/>
      <c r="V13" s="20"/>
      <c r="W13" s="20"/>
      <c r="X13" s="20"/>
      <c r="Y13" s="20"/>
      <c r="Z13" s="20"/>
      <c r="AA13" s="20"/>
      <c r="AB13" s="20"/>
      <c r="AC13" s="20">
        <v>0</v>
      </c>
      <c r="AD13" s="20"/>
      <c r="AE13" s="21"/>
      <c r="AF13" s="20">
        <f>E13</f>
        <v>-2483.1</v>
      </c>
      <c r="AG13" s="1241"/>
      <c r="AH13" s="20"/>
      <c r="AI13" s="1948">
        <f>'Exhibit I State'!AG13+'Exhibit I Federal'!AG13</f>
        <v>-1456</v>
      </c>
      <c r="AJ13" s="20"/>
      <c r="AK13" s="94"/>
      <c r="AL13" s="93">
        <f>+AF13-AI13</f>
        <v>-1027.0999999999999</v>
      </c>
      <c r="AM13" s="20"/>
      <c r="AN13" s="281">
        <f>ROUND(IF(AI13=0,0,-AL13/(AI13)),3)</f>
        <v>-0.70499999999999996</v>
      </c>
      <c r="AO13" s="3"/>
    </row>
    <row r="14" spans="1:41" ht="15.75" customHeight="1">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667"/>
      <c r="AF14" s="268"/>
      <c r="AG14" s="1242"/>
      <c r="AH14" s="268"/>
      <c r="AI14" s="268"/>
      <c r="AJ14" s="268"/>
      <c r="AK14" s="92"/>
    </row>
    <row r="15" spans="1:41" ht="15.75">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667"/>
      <c r="AF15" s="268"/>
      <c r="AG15" s="1242"/>
      <c r="AH15" s="268"/>
      <c r="AI15" s="268"/>
      <c r="AJ15" s="268"/>
      <c r="AK15" s="92"/>
    </row>
    <row r="16" spans="1:41" ht="15.75">
      <c r="A16" s="291"/>
      <c r="B16" s="1216"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667"/>
      <c r="AF16" s="268"/>
      <c r="AG16" s="1242"/>
      <c r="AH16" s="268"/>
      <c r="AI16" s="268"/>
      <c r="AJ16" s="268"/>
      <c r="AK16" s="92"/>
    </row>
    <row r="17" spans="1:42" ht="15.75">
      <c r="A17" s="291"/>
      <c r="B17" s="412" t="s">
        <v>354</v>
      </c>
      <c r="C17" s="291"/>
      <c r="D17" s="291"/>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667"/>
      <c r="AF17" s="268"/>
      <c r="AG17" s="1242"/>
      <c r="AH17" s="268"/>
      <c r="AI17" s="268"/>
      <c r="AJ17" s="268"/>
      <c r="AK17" s="92"/>
    </row>
    <row r="18" spans="1:42">
      <c r="A18" s="291"/>
      <c r="B18" s="284" t="s">
        <v>356</v>
      </c>
      <c r="C18" s="291"/>
      <c r="D18" s="291"/>
      <c r="E18" s="512">
        <f>+'Exhibit I State'!E18</f>
        <v>-0.3</v>
      </c>
      <c r="F18" s="512"/>
      <c r="G18" s="512">
        <f>+'Exhibit I State'!G18</f>
        <v>0</v>
      </c>
      <c r="H18" s="512"/>
      <c r="I18" s="512">
        <f>+'Exhibit I State'!I18</f>
        <v>23.8</v>
      </c>
      <c r="J18" s="264"/>
      <c r="K18" s="512"/>
      <c r="L18" s="736"/>
      <c r="M18" s="512"/>
      <c r="N18" s="736"/>
      <c r="O18" s="512"/>
      <c r="P18" s="512"/>
      <c r="Q18" s="512"/>
      <c r="R18" s="736"/>
      <c r="S18" s="512"/>
      <c r="T18" s="512"/>
      <c r="U18" s="512"/>
      <c r="V18" s="512"/>
      <c r="W18" s="512"/>
      <c r="X18" s="512"/>
      <c r="Y18" s="512"/>
      <c r="Z18" s="512"/>
      <c r="AA18" s="512"/>
      <c r="AB18" s="512"/>
      <c r="AC18" s="512">
        <v>0</v>
      </c>
      <c r="AD18" s="1237"/>
      <c r="AE18" s="736"/>
      <c r="AF18" s="264">
        <f>ROUND(SUM(E18:AC18),1)</f>
        <v>23.5</v>
      </c>
      <c r="AG18" s="1238"/>
      <c r="AH18" s="899"/>
      <c r="AI18" s="939">
        <f>+'Exhibit I State'!AG18</f>
        <v>28.6</v>
      </c>
      <c r="AJ18" s="900"/>
      <c r="AK18" s="901"/>
      <c r="AL18" s="939">
        <f>ROUND(SUM(AF18-AI18),1)</f>
        <v>-5.0999999999999996</v>
      </c>
      <c r="AM18" s="736"/>
      <c r="AN18" s="542">
        <f>ROUND(IF(AI18=0,0,AL18/ABS(AI18)),3)</f>
        <v>-0.17799999999999999</v>
      </c>
      <c r="AO18" s="211"/>
    </row>
    <row r="19" spans="1:42">
      <c r="A19" s="291"/>
      <c r="B19" s="284" t="s">
        <v>359</v>
      </c>
      <c r="C19" s="291"/>
      <c r="D19" s="291"/>
      <c r="E19" s="512">
        <f>+'Exhibit I State'!E19</f>
        <v>29.1</v>
      </c>
      <c r="F19" s="512"/>
      <c r="G19" s="512">
        <f>+'Exhibit I State'!G19</f>
        <v>32</v>
      </c>
      <c r="H19" s="512"/>
      <c r="I19" s="512">
        <f>+'Exhibit I State'!I19</f>
        <v>34.300000000000004</v>
      </c>
      <c r="J19" s="264"/>
      <c r="K19" s="512"/>
      <c r="L19" s="736"/>
      <c r="M19" s="512"/>
      <c r="N19" s="736"/>
      <c r="O19" s="512"/>
      <c r="P19" s="736"/>
      <c r="Q19" s="512"/>
      <c r="R19" s="736"/>
      <c r="S19" s="512"/>
      <c r="T19" s="512"/>
      <c r="U19" s="512"/>
      <c r="V19" s="512"/>
      <c r="W19" s="512"/>
      <c r="X19" s="512"/>
      <c r="Y19" s="512"/>
      <c r="Z19" s="512"/>
      <c r="AA19" s="512"/>
      <c r="AB19" s="512"/>
      <c r="AC19" s="512">
        <v>0</v>
      </c>
      <c r="AD19" s="1237"/>
      <c r="AE19" s="736"/>
      <c r="AF19" s="264">
        <f>ROUND(SUM(E19:AC19),1)</f>
        <v>95.4</v>
      </c>
      <c r="AG19" s="1238"/>
      <c r="AH19" s="899"/>
      <c r="AI19" s="939">
        <f>+'Exhibit I State'!AG19</f>
        <v>95.2</v>
      </c>
      <c r="AJ19" s="900"/>
      <c r="AK19" s="901"/>
      <c r="AL19" s="939">
        <f>ROUND(SUM(AF19-AI19),1)</f>
        <v>0.2</v>
      </c>
      <c r="AM19" s="736"/>
      <c r="AN19" s="374">
        <f>ROUND(IF(AI19=0,0,AL19/ABS(AI19)),3)</f>
        <v>2E-3</v>
      </c>
      <c r="AO19" s="211"/>
    </row>
    <row r="20" spans="1:42">
      <c r="A20" s="291"/>
      <c r="B20" s="284" t="s">
        <v>362</v>
      </c>
      <c r="C20" s="291"/>
      <c r="D20" s="291"/>
      <c r="E20" s="512">
        <f>+'Exhibit I State'!E20</f>
        <v>13.4</v>
      </c>
      <c r="F20" s="512"/>
      <c r="G20" s="512">
        <f>+'Exhibit I State'!G20</f>
        <v>8.9</v>
      </c>
      <c r="H20" s="512"/>
      <c r="I20" s="512">
        <f>+'Exhibit I State'!I20</f>
        <v>9.1</v>
      </c>
      <c r="J20" s="264"/>
      <c r="K20" s="512"/>
      <c r="L20" s="736"/>
      <c r="M20" s="512"/>
      <c r="N20" s="736"/>
      <c r="O20" s="512"/>
      <c r="P20" s="736"/>
      <c r="Q20" s="512"/>
      <c r="R20" s="736"/>
      <c r="S20" s="512"/>
      <c r="T20" s="512"/>
      <c r="U20" s="512"/>
      <c r="V20" s="512"/>
      <c r="W20" s="512"/>
      <c r="X20" s="512"/>
      <c r="Y20" s="512"/>
      <c r="Z20" s="512"/>
      <c r="AA20" s="512"/>
      <c r="AB20" s="512"/>
      <c r="AC20" s="512">
        <v>0</v>
      </c>
      <c r="AD20" s="1237"/>
      <c r="AE20" s="736"/>
      <c r="AF20" s="264">
        <f>ROUND(SUM(E20:AC20),1)</f>
        <v>31.4</v>
      </c>
      <c r="AG20" s="1238"/>
      <c r="AH20" s="899"/>
      <c r="AI20" s="939">
        <f>+'Exhibit I State'!AG20</f>
        <v>33.700000000000003</v>
      </c>
      <c r="AJ20" s="900"/>
      <c r="AK20" s="901"/>
      <c r="AL20" s="939">
        <f>ROUND(SUM(AF20-AI20),1)</f>
        <v>-2.2999999999999998</v>
      </c>
      <c r="AM20" s="736"/>
      <c r="AN20" s="542">
        <f>ROUND(IF(AI20=0,0,AL20/ABS(AI20)),3)</f>
        <v>-6.8000000000000005E-2</v>
      </c>
      <c r="AO20" s="211"/>
    </row>
    <row r="21" spans="1:42" ht="15.75">
      <c r="A21" s="291"/>
      <c r="B21" s="83" t="s">
        <v>558</v>
      </c>
      <c r="C21" s="291"/>
      <c r="D21" s="291"/>
      <c r="E21" s="68">
        <f>ROUND(SUM(E18:E20),1)</f>
        <v>42.2</v>
      </c>
      <c r="F21" s="13"/>
      <c r="G21" s="68">
        <f>ROUND(SUM(G18:G20),1)</f>
        <v>40.9</v>
      </c>
      <c r="H21" s="13"/>
      <c r="I21" s="68">
        <f>ROUND(SUM(I18:I20),1)</f>
        <v>67.2</v>
      </c>
      <c r="J21" s="13"/>
      <c r="K21" s="68">
        <f>ROUND(SUM(K18:K20),1)</f>
        <v>0</v>
      </c>
      <c r="L21" s="736"/>
      <c r="M21" s="68">
        <f>ROUND(SUM(M18:M20),1)</f>
        <v>0</v>
      </c>
      <c r="N21" s="736"/>
      <c r="O21" s="68">
        <f>ROUND(SUM(O18:O20),1)</f>
        <v>0</v>
      </c>
      <c r="P21" s="736"/>
      <c r="Q21" s="68">
        <f>ROUND(SUM(Q18:Q20),1)</f>
        <v>0</v>
      </c>
      <c r="R21" s="736"/>
      <c r="S21" s="68">
        <f>ROUND(SUM(S18:S20),1)</f>
        <v>0</v>
      </c>
      <c r="T21" s="736"/>
      <c r="U21" s="68">
        <f>ROUND(SUM(U18:U20),1)</f>
        <v>0</v>
      </c>
      <c r="V21" s="736"/>
      <c r="W21" s="68">
        <f>ROUND(SUM(W18:W20),1)</f>
        <v>0</v>
      </c>
      <c r="X21" s="736"/>
      <c r="Y21" s="68">
        <f>ROUND(SUM(Y18:Y20),1)</f>
        <v>0</v>
      </c>
      <c r="Z21" s="736"/>
      <c r="AA21" s="68">
        <f>ROUND(SUM(AA18:AA20),1)</f>
        <v>0</v>
      </c>
      <c r="AB21" s="13"/>
      <c r="AC21" s="68">
        <f>ROUND(SUM(AC18:AC20),1)</f>
        <v>0</v>
      </c>
      <c r="AD21" s="1237"/>
      <c r="AE21" s="736"/>
      <c r="AF21" s="68">
        <f>ROUND(SUM(AF18:AF20),1)</f>
        <v>150.30000000000001</v>
      </c>
      <c r="AG21" s="1238"/>
      <c r="AH21" s="899"/>
      <c r="AI21" s="68">
        <f>ROUND(SUM(AI18:AI20),1)</f>
        <v>157.5</v>
      </c>
      <c r="AJ21" s="900"/>
      <c r="AK21" s="901"/>
      <c r="AL21" s="1098">
        <f>ROUND(SUM(AF21-AI21),1)</f>
        <v>-7.2</v>
      </c>
      <c r="AM21" s="83"/>
      <c r="AN21" s="1074">
        <f>ROUND(IF(AI21=0,0,AL21/ABS(AI21)),3)</f>
        <v>-4.5999999999999999E-2</v>
      </c>
      <c r="AO21" s="211"/>
    </row>
    <row r="22" spans="1:42" ht="15.75">
      <c r="A22" s="291"/>
      <c r="B22" s="412" t="s">
        <v>366</v>
      </c>
      <c r="C22" s="291"/>
      <c r="D22" s="291"/>
      <c r="E22" s="13"/>
      <c r="F22" s="13"/>
      <c r="G22" s="13"/>
      <c r="H22" s="13"/>
      <c r="I22" s="13"/>
      <c r="J22" s="13"/>
      <c r="K22" s="13"/>
      <c r="L22" s="736"/>
      <c r="M22" s="13"/>
      <c r="N22" s="736"/>
      <c r="O22" s="13"/>
      <c r="P22" s="736"/>
      <c r="Q22" s="13"/>
      <c r="R22" s="736"/>
      <c r="S22" s="13"/>
      <c r="T22" s="736"/>
      <c r="U22" s="13"/>
      <c r="V22" s="736"/>
      <c r="W22" s="13"/>
      <c r="X22" s="736"/>
      <c r="Y22" s="13"/>
      <c r="Z22" s="736"/>
      <c r="AA22" s="13"/>
      <c r="AB22" s="13"/>
      <c r="AC22" s="13"/>
      <c r="AD22" s="1237"/>
      <c r="AE22" s="736"/>
      <c r="AF22" s="13"/>
      <c r="AG22" s="1238"/>
      <c r="AH22" s="899"/>
      <c r="AI22" s="13"/>
      <c r="AJ22" s="900"/>
      <c r="AK22" s="901"/>
      <c r="AL22" s="413"/>
      <c r="AM22" s="83"/>
      <c r="AN22" s="2"/>
      <c r="AO22" s="211"/>
    </row>
    <row r="23" spans="1:42" ht="15.75">
      <c r="A23" s="291"/>
      <c r="B23" s="284" t="s">
        <v>367</v>
      </c>
      <c r="C23" s="291"/>
      <c r="D23" s="291"/>
      <c r="E23" s="512">
        <f>+'Exhibit I State'!E23</f>
        <v>0</v>
      </c>
      <c r="F23" s="512"/>
      <c r="G23" s="512">
        <f>+'Exhibit I State'!G23</f>
        <v>0</v>
      </c>
      <c r="H23" s="512"/>
      <c r="I23" s="512">
        <f>+'Exhibit I State'!I23</f>
        <v>0</v>
      </c>
      <c r="J23" s="13"/>
      <c r="K23" s="512"/>
      <c r="L23" s="736"/>
      <c r="M23" s="512"/>
      <c r="N23" s="736"/>
      <c r="O23" s="512"/>
      <c r="P23" s="736"/>
      <c r="Q23" s="512"/>
      <c r="R23" s="736"/>
      <c r="S23" s="512"/>
      <c r="T23" s="512"/>
      <c r="U23" s="512"/>
      <c r="V23" s="512"/>
      <c r="W23" s="512"/>
      <c r="X23" s="512"/>
      <c r="Y23" s="512"/>
      <c r="Z23" s="512"/>
      <c r="AA23" s="512"/>
      <c r="AB23" s="512"/>
      <c r="AC23" s="512">
        <v>0</v>
      </c>
      <c r="AD23" s="1237"/>
      <c r="AE23" s="736"/>
      <c r="AF23" s="264">
        <v>0</v>
      </c>
      <c r="AG23" s="1238"/>
      <c r="AH23" s="899"/>
      <c r="AI23" s="939">
        <f>+'Exhibit I State'!AG23</f>
        <v>0</v>
      </c>
      <c r="AJ23" s="900"/>
      <c r="AK23" s="901"/>
      <c r="AL23" s="939">
        <f>ROUND(SUM(AF23-AI23),1)</f>
        <v>0</v>
      </c>
      <c r="AM23" s="736"/>
      <c r="AN23" s="1059">
        <f>ROUND(IF(AI23=0,0,AL23/ABS(AI23)),3)</f>
        <v>0</v>
      </c>
      <c r="AO23" s="211"/>
      <c r="AP23" s="80"/>
    </row>
    <row r="24" spans="1:42" ht="15.75">
      <c r="A24" s="291"/>
      <c r="B24" s="284" t="s">
        <v>368</v>
      </c>
      <c r="C24" s="291"/>
      <c r="D24" s="291"/>
      <c r="E24" s="512">
        <f>+'Exhibit I State'!E24</f>
        <v>2</v>
      </c>
      <c r="F24" s="512"/>
      <c r="G24" s="512">
        <f>+'Exhibit I State'!G24</f>
        <v>-0.10000000000000009</v>
      </c>
      <c r="H24" s="512"/>
      <c r="I24" s="512">
        <f>+'Exhibit I State'!I24</f>
        <v>0.90000000000000036</v>
      </c>
      <c r="J24" s="13"/>
      <c r="K24" s="512"/>
      <c r="L24" s="736"/>
      <c r="M24" s="512"/>
      <c r="N24" s="736"/>
      <c r="O24" s="512"/>
      <c r="P24" s="736"/>
      <c r="Q24" s="512"/>
      <c r="R24" s="736"/>
      <c r="S24" s="512"/>
      <c r="T24" s="512"/>
      <c r="U24" s="512"/>
      <c r="V24" s="512"/>
      <c r="W24" s="512"/>
      <c r="X24" s="512"/>
      <c r="Y24" s="512"/>
      <c r="Z24" s="512"/>
      <c r="AA24" s="512"/>
      <c r="AB24" s="512"/>
      <c r="AC24" s="512">
        <v>0</v>
      </c>
      <c r="AD24" s="1237"/>
      <c r="AE24" s="736"/>
      <c r="AF24" s="264">
        <f>ROUND(SUM(E24:AC24),1)</f>
        <v>2.8</v>
      </c>
      <c r="AG24" s="1238"/>
      <c r="AH24" s="899"/>
      <c r="AI24" s="939">
        <f>+'Exhibit I State'!AG24</f>
        <v>5.0999999999999996</v>
      </c>
      <c r="AJ24" s="900"/>
      <c r="AK24" s="901"/>
      <c r="AL24" s="939">
        <f>ROUND(SUM(AF24-AI24),1)</f>
        <v>-2.2999999999999998</v>
      </c>
      <c r="AM24" s="736"/>
      <c r="AN24" s="542">
        <f>ROUND(IF(AI24=0,1,AL24/ABS(AI24)),3)</f>
        <v>-0.45100000000000001</v>
      </c>
      <c r="AO24" s="211"/>
      <c r="AP24" s="80"/>
    </row>
    <row r="25" spans="1:42" ht="15.75">
      <c r="A25" s="291"/>
      <c r="B25" s="284" t="s">
        <v>372</v>
      </c>
      <c r="C25" s="291"/>
      <c r="D25" s="291"/>
      <c r="E25" s="512">
        <f>+'Exhibit I State'!E25</f>
        <v>41.9</v>
      </c>
      <c r="F25" s="512"/>
      <c r="G25" s="512">
        <f>+'Exhibit I State'!G25</f>
        <v>44.000000000000007</v>
      </c>
      <c r="H25" s="512"/>
      <c r="I25" s="512">
        <f>+'Exhibit I State'!I25</f>
        <v>50.199999999999996</v>
      </c>
      <c r="J25" s="13"/>
      <c r="K25" s="512"/>
      <c r="L25" s="736"/>
      <c r="M25" s="512"/>
      <c r="N25" s="736"/>
      <c r="O25" s="512"/>
      <c r="P25" s="736"/>
      <c r="Q25" s="512"/>
      <c r="R25" s="736"/>
      <c r="S25" s="512"/>
      <c r="T25" s="512"/>
      <c r="U25" s="512"/>
      <c r="V25" s="512"/>
      <c r="W25" s="512"/>
      <c r="X25" s="512"/>
      <c r="Y25" s="512"/>
      <c r="Z25" s="512"/>
      <c r="AA25" s="512"/>
      <c r="AB25" s="512"/>
      <c r="AC25" s="512">
        <v>0</v>
      </c>
      <c r="AD25" s="1237"/>
      <c r="AE25" s="736"/>
      <c r="AF25" s="264">
        <f>ROUND(SUM(E25:AC25),1)</f>
        <v>136.1</v>
      </c>
      <c r="AG25" s="1238"/>
      <c r="AH25" s="899"/>
      <c r="AI25" s="939">
        <f>+'Exhibit I State'!AG25</f>
        <v>144</v>
      </c>
      <c r="AJ25" s="900"/>
      <c r="AK25" s="901"/>
      <c r="AL25" s="939">
        <f>ROUND(SUM(AF25-AI25),1)</f>
        <v>-7.9</v>
      </c>
      <c r="AM25" s="736"/>
      <c r="AN25" s="266">
        <f>ROUND(IF(AI25=0,0,AL25/ABS(AI25)),3)</f>
        <v>-5.5E-2</v>
      </c>
      <c r="AO25" s="211"/>
      <c r="AP25" s="80"/>
    </row>
    <row r="26" spans="1:42" ht="15.75">
      <c r="A26" s="291"/>
      <c r="B26" s="83" t="s">
        <v>559</v>
      </c>
      <c r="C26" s="291"/>
      <c r="D26" s="291"/>
      <c r="E26" s="68">
        <f>ROUND(SUM(E23:E25),1)</f>
        <v>43.9</v>
      </c>
      <c r="F26" s="531"/>
      <c r="G26" s="68">
        <f>ROUND(SUM(G23:G25),1)</f>
        <v>43.9</v>
      </c>
      <c r="H26" s="531"/>
      <c r="I26" s="68">
        <f>ROUND(SUM(I23:I25),1)</f>
        <v>51.1</v>
      </c>
      <c r="J26" s="13"/>
      <c r="K26" s="68">
        <f>ROUND(SUM(K23:K25),1)</f>
        <v>0</v>
      </c>
      <c r="L26" s="736"/>
      <c r="M26" s="68">
        <f>ROUND(SUM(M23:M25),1)</f>
        <v>0</v>
      </c>
      <c r="N26" s="736"/>
      <c r="O26" s="68">
        <f>ROUND(SUM(O23:O25),1)</f>
        <v>0</v>
      </c>
      <c r="P26" s="736"/>
      <c r="Q26" s="68">
        <f>ROUND(SUM(Q23:Q25),1)</f>
        <v>0</v>
      </c>
      <c r="R26" s="736"/>
      <c r="S26" s="68">
        <f>ROUND(SUM(S23:S25),1)</f>
        <v>0</v>
      </c>
      <c r="T26" s="736"/>
      <c r="U26" s="68">
        <f>ROUND(SUM(U23:U25),1)</f>
        <v>0</v>
      </c>
      <c r="V26" s="736"/>
      <c r="W26" s="68">
        <f>ROUND(SUM(W23:W25),1)</f>
        <v>0</v>
      </c>
      <c r="X26" s="736"/>
      <c r="Y26" s="68">
        <f>ROUND(SUM(Y23:Y25),1)</f>
        <v>0</v>
      </c>
      <c r="Z26" s="736"/>
      <c r="AA26" s="68">
        <f>ROUND(SUM(AA23:AA25),1)</f>
        <v>0</v>
      </c>
      <c r="AB26" s="13"/>
      <c r="AC26" s="68">
        <f>ROUND(SUM(AC23:AC25),1)</f>
        <v>0</v>
      </c>
      <c r="AD26" s="1237"/>
      <c r="AE26" s="736"/>
      <c r="AF26" s="68">
        <f>ROUND(SUM(AF23:AF25),1)</f>
        <v>138.9</v>
      </c>
      <c r="AG26" s="1238"/>
      <c r="AH26" s="899"/>
      <c r="AI26" s="68">
        <f>ROUND(SUM(AI23:AI25),1)</f>
        <v>149.1</v>
      </c>
      <c r="AJ26" s="900"/>
      <c r="AK26" s="901"/>
      <c r="AL26" s="68">
        <f>ROUND(SUM(AL23:AL25),1)</f>
        <v>-10.199999999999999</v>
      </c>
      <c r="AM26" s="736"/>
      <c r="AN26" s="537">
        <f>ROUND(IF(AI26=0,0,AL26/ABS(AI26)),3)</f>
        <v>-6.8000000000000005E-2</v>
      </c>
      <c r="AO26" s="211"/>
      <c r="AP26" s="80"/>
    </row>
    <row r="27" spans="1:42" ht="15.75">
      <c r="A27" s="291"/>
      <c r="B27" s="412" t="s">
        <v>374</v>
      </c>
      <c r="C27" s="291"/>
      <c r="D27" s="291"/>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667"/>
      <c r="AF27" s="268"/>
      <c r="AG27" s="1242"/>
      <c r="AH27" s="268"/>
      <c r="AI27" s="268"/>
      <c r="AJ27" s="268"/>
      <c r="AK27" s="92"/>
    </row>
    <row r="28" spans="1:42" ht="15.75">
      <c r="A28" s="291"/>
      <c r="B28" s="284" t="s">
        <v>378</v>
      </c>
      <c r="C28" s="291"/>
      <c r="D28" s="291"/>
      <c r="E28" s="512">
        <f>+'Exhibit I State'!E28</f>
        <v>0</v>
      </c>
      <c r="F28" s="512"/>
      <c r="G28" s="512">
        <f>+'Exhibit I State'!G28</f>
        <v>0</v>
      </c>
      <c r="H28" s="512"/>
      <c r="I28" s="512">
        <f>+'Exhibit I State'!I28</f>
        <v>25.7</v>
      </c>
      <c r="J28" s="13"/>
      <c r="K28" s="512"/>
      <c r="L28" s="736"/>
      <c r="M28" s="512"/>
      <c r="N28" s="736"/>
      <c r="O28" s="512"/>
      <c r="P28" s="736"/>
      <c r="Q28" s="512"/>
      <c r="R28" s="736"/>
      <c r="S28" s="512"/>
      <c r="T28" s="512"/>
      <c r="U28" s="512"/>
      <c r="V28" s="512"/>
      <c r="W28" s="512"/>
      <c r="X28" s="512"/>
      <c r="Y28" s="512"/>
      <c r="Z28" s="512"/>
      <c r="AA28" s="512"/>
      <c r="AB28" s="512"/>
      <c r="AC28" s="512">
        <v>0</v>
      </c>
      <c r="AD28" s="1237"/>
      <c r="AE28" s="736"/>
      <c r="AF28" s="264">
        <f>ROUND(SUM(E28:AC28),1)</f>
        <v>25.7</v>
      </c>
      <c r="AG28" s="1238"/>
      <c r="AH28" s="899"/>
      <c r="AI28" s="939">
        <f>+'Exhibit I State'!AG28</f>
        <v>25.7</v>
      </c>
      <c r="AJ28" s="900"/>
      <c r="AK28" s="901"/>
      <c r="AL28" s="939">
        <f>ROUND(SUM(AF28-AI28),1)</f>
        <v>0</v>
      </c>
      <c r="AM28" s="736"/>
      <c r="AN28" s="266">
        <f>ROUND(IF(AI28=0,0,AL28/ABS(AI28)),3)</f>
        <v>0</v>
      </c>
      <c r="AO28" s="211"/>
      <c r="AP28" s="80"/>
    </row>
    <row r="29" spans="1:42" ht="15.75">
      <c r="A29" s="291"/>
      <c r="B29" s="83" t="s">
        <v>560</v>
      </c>
      <c r="C29" s="291"/>
      <c r="D29" s="291"/>
      <c r="E29" s="68">
        <f>ROUND(SUM(E28:E28),1)</f>
        <v>0</v>
      </c>
      <c r="F29" s="13"/>
      <c r="G29" s="68">
        <f>ROUND(SUM(G28:G28),1)</f>
        <v>0</v>
      </c>
      <c r="H29" s="13"/>
      <c r="I29" s="68">
        <f>ROUND(SUM(I28:I28),1)</f>
        <v>25.7</v>
      </c>
      <c r="J29" s="13"/>
      <c r="K29" s="68">
        <f>ROUND(SUM(K28:K28),1)</f>
        <v>0</v>
      </c>
      <c r="L29" s="736"/>
      <c r="M29" s="68">
        <f>ROUND(SUM(M28:M28),1)</f>
        <v>0</v>
      </c>
      <c r="N29" s="736"/>
      <c r="O29" s="68">
        <f>ROUND(SUM(O28:O28),1)</f>
        <v>0</v>
      </c>
      <c r="P29" s="736"/>
      <c r="Q29" s="68">
        <f>ROUND(SUM(Q28:Q28),1)</f>
        <v>0</v>
      </c>
      <c r="R29" s="736"/>
      <c r="S29" s="68">
        <f>ROUND(SUM(S28:S28),1)</f>
        <v>0</v>
      </c>
      <c r="T29" s="736"/>
      <c r="U29" s="68">
        <f>ROUND(SUM(U28:U28),1)</f>
        <v>0</v>
      </c>
      <c r="V29" s="736"/>
      <c r="W29" s="68">
        <f>ROUND(SUM(W28:W28),1)</f>
        <v>0</v>
      </c>
      <c r="X29" s="736"/>
      <c r="Y29" s="68">
        <f>ROUND(SUM(Y28:Y28),1)</f>
        <v>0</v>
      </c>
      <c r="Z29" s="736"/>
      <c r="AA29" s="68">
        <f>ROUND(SUM(AA28:AA28),1)</f>
        <v>0</v>
      </c>
      <c r="AB29" s="13"/>
      <c r="AC29" s="68">
        <f>ROUND(SUM(AC28:AC28),1)</f>
        <v>0</v>
      </c>
      <c r="AD29" s="1237"/>
      <c r="AE29" s="736"/>
      <c r="AF29" s="68">
        <f>ROUND(SUM(AF28:AF28),1)</f>
        <v>25.7</v>
      </c>
      <c r="AG29" s="1238"/>
      <c r="AH29" s="899"/>
      <c r="AI29" s="68">
        <f>ROUND(SUM(AI28:AI28),1)</f>
        <v>25.7</v>
      </c>
      <c r="AJ29" s="900"/>
      <c r="AK29" s="901"/>
      <c r="AL29" s="1098">
        <f>ROUND(SUM(AF29-AI29),1)</f>
        <v>0</v>
      </c>
      <c r="AM29" s="83"/>
      <c r="AN29" s="537">
        <f>ROUND(IF(AI29=0,0,AL29/ABS(AI29)),3)</f>
        <v>0</v>
      </c>
      <c r="AO29" s="211"/>
      <c r="AP29" s="80"/>
    </row>
    <row r="30" spans="1:42" ht="15.75">
      <c r="A30" s="291"/>
      <c r="B30" s="83"/>
      <c r="C30" s="291"/>
      <c r="D30" s="291"/>
      <c r="E30" s="1099"/>
      <c r="F30" s="13"/>
      <c r="G30" s="1099"/>
      <c r="H30" s="13"/>
      <c r="I30" s="1099"/>
      <c r="J30" s="13"/>
      <c r="K30" s="1099"/>
      <c r="L30" s="736"/>
      <c r="M30" s="1099"/>
      <c r="N30" s="736"/>
      <c r="O30" s="1099"/>
      <c r="P30" s="736"/>
      <c r="Q30" s="1099"/>
      <c r="R30" s="736"/>
      <c r="S30" s="1099"/>
      <c r="T30" s="736"/>
      <c r="U30" s="1099"/>
      <c r="V30" s="736"/>
      <c r="W30" s="1099"/>
      <c r="X30" s="736"/>
      <c r="Y30" s="1099"/>
      <c r="Z30" s="736"/>
      <c r="AA30" s="1099"/>
      <c r="AB30" s="13"/>
      <c r="AC30" s="1099"/>
      <c r="AD30" s="1237"/>
      <c r="AE30" s="736"/>
      <c r="AF30" s="1099"/>
      <c r="AG30" s="1238"/>
      <c r="AH30" s="899"/>
      <c r="AI30" s="899"/>
      <c r="AJ30" s="900"/>
      <c r="AK30" s="901"/>
      <c r="AL30" s="899"/>
      <c r="AM30" s="736"/>
      <c r="AN30" s="736"/>
      <c r="AO30" s="211"/>
      <c r="AP30" s="80"/>
    </row>
    <row r="31" spans="1:42" ht="15.75">
      <c r="A31" s="291"/>
      <c r="B31" s="83" t="s">
        <v>382</v>
      </c>
      <c r="C31" s="291"/>
      <c r="D31" s="291"/>
      <c r="E31" s="1042">
        <f>ROUND(SUM(E9+E26+E21+E29),1)</f>
        <v>86.1</v>
      </c>
      <c r="F31" s="264"/>
      <c r="G31" s="1042">
        <f>ROUND(SUM(G9+G26+G21+G29),1)</f>
        <v>84.8</v>
      </c>
      <c r="H31" s="264"/>
      <c r="I31" s="1042">
        <f>ROUND(SUM(I9+I26+I21+I29),1)</f>
        <v>144</v>
      </c>
      <c r="J31" s="264"/>
      <c r="K31" s="1042">
        <f>ROUND(SUM(K9+K26+K21+K29),1)</f>
        <v>0</v>
      </c>
      <c r="L31" s="736"/>
      <c r="M31" s="1042">
        <f>ROUND(SUM(M9+M26+M21+M29),1)</f>
        <v>0</v>
      </c>
      <c r="N31" s="736"/>
      <c r="O31" s="1042">
        <f>ROUND(SUM(O9+O26+O21+O29),1)</f>
        <v>0</v>
      </c>
      <c r="P31" s="736"/>
      <c r="Q31" s="1042">
        <f>ROUND(SUM(Q9+Q26+Q21+Q29),1)</f>
        <v>0</v>
      </c>
      <c r="R31" s="736"/>
      <c r="S31" s="1015">
        <f>ROUND(SUM(S9+S26+S21+S29),1)</f>
        <v>0</v>
      </c>
      <c r="T31" s="736"/>
      <c r="U31" s="1015">
        <f>ROUND(SUM(U9+U26+U21+U29),1)</f>
        <v>0</v>
      </c>
      <c r="V31" s="736"/>
      <c r="W31" s="1015">
        <f>ROUND(SUM(W9+W26+W21+W29),1)</f>
        <v>0</v>
      </c>
      <c r="X31" s="736"/>
      <c r="Y31" s="1015">
        <f>ROUND(SUM(Y9+Y26+Y21+Y29),1)</f>
        <v>0</v>
      </c>
      <c r="Z31" s="736"/>
      <c r="AA31" s="1015">
        <f>ROUND(SUM(AA9+AA26+AA21+AA29),1)</f>
        <v>0</v>
      </c>
      <c r="AB31" s="414"/>
      <c r="AC31" s="1015">
        <f>ROUND(SUM(AC13+AC26+AC21+AC29),1)</f>
        <v>0</v>
      </c>
      <c r="AD31" s="1237"/>
      <c r="AE31" s="736"/>
      <c r="AF31" s="1015">
        <f>ROUND(SUM(AF26+AF21+AF29),1)</f>
        <v>314.89999999999998</v>
      </c>
      <c r="AG31" s="1238"/>
      <c r="AH31" s="899"/>
      <c r="AI31" s="1015">
        <f>ROUND(SUM(AI26+AI21+AI29),1)</f>
        <v>332.3</v>
      </c>
      <c r="AJ31" s="900"/>
      <c r="AK31" s="901"/>
      <c r="AL31" s="1061">
        <f>ROUND(SUM(AF31-AI31),1)</f>
        <v>-17.399999999999999</v>
      </c>
      <c r="AM31" s="83"/>
      <c r="AN31" s="538">
        <f>ROUND(IF(AI31=0,0,AL31/ABS(AI31)),3)</f>
        <v>-5.1999999999999998E-2</v>
      </c>
      <c r="AO31" s="211"/>
      <c r="AP31" s="80"/>
    </row>
    <row r="32" spans="1:42" ht="15.75">
      <c r="A32" s="291"/>
      <c r="B32" s="83"/>
      <c r="C32" s="291"/>
      <c r="D32" s="291"/>
      <c r="E32" s="609"/>
      <c r="F32" s="264"/>
      <c r="G32" s="609"/>
      <c r="H32" s="264"/>
      <c r="I32" s="609"/>
      <c r="J32" s="264"/>
      <c r="K32" s="609"/>
      <c r="L32" s="736"/>
      <c r="M32" s="609"/>
      <c r="N32" s="736"/>
      <c r="O32" s="609"/>
      <c r="P32" s="736"/>
      <c r="Q32" s="609"/>
      <c r="R32" s="736"/>
      <c r="S32" s="414"/>
      <c r="T32" s="736"/>
      <c r="U32" s="414"/>
      <c r="V32" s="736"/>
      <c r="W32" s="414"/>
      <c r="X32" s="736"/>
      <c r="Y32" s="414"/>
      <c r="Z32" s="736"/>
      <c r="AA32" s="414"/>
      <c r="AB32" s="414"/>
      <c r="AC32" s="414"/>
      <c r="AD32" s="1237"/>
      <c r="AE32" s="736"/>
      <c r="AF32" s="414"/>
      <c r="AG32" s="1238"/>
      <c r="AH32" s="899"/>
      <c r="AI32" s="414"/>
      <c r="AJ32" s="900"/>
      <c r="AK32" s="901"/>
      <c r="AL32" s="413"/>
      <c r="AM32" s="83"/>
      <c r="AN32" s="281"/>
      <c r="AO32" s="211"/>
      <c r="AP32" s="80"/>
    </row>
    <row r="33" spans="1:41" ht="15.75">
      <c r="A33" s="291"/>
      <c r="B33" s="1216" t="s">
        <v>383</v>
      </c>
      <c r="C33" s="291"/>
      <c r="D33" s="291"/>
      <c r="E33" s="275"/>
      <c r="F33" s="264"/>
      <c r="G33" s="275"/>
      <c r="H33" s="264"/>
      <c r="I33" s="275"/>
      <c r="J33" s="264"/>
      <c r="K33" s="275"/>
      <c r="L33" s="264"/>
      <c r="M33" s="275"/>
      <c r="N33" s="264"/>
      <c r="O33" s="275"/>
      <c r="P33" s="264"/>
      <c r="Q33" s="275"/>
      <c r="R33" s="264"/>
      <c r="S33" s="275"/>
      <c r="T33" s="264"/>
      <c r="U33" s="275"/>
      <c r="V33" s="264"/>
      <c r="W33" s="275"/>
      <c r="X33" s="264"/>
      <c r="Y33" s="275"/>
      <c r="Z33" s="264"/>
      <c r="AA33" s="275"/>
      <c r="AB33" s="275"/>
      <c r="AC33" s="275"/>
      <c r="AD33" s="264"/>
      <c r="AE33" s="523"/>
      <c r="AF33" s="289"/>
      <c r="AG33" s="1243"/>
      <c r="AH33" s="367"/>
      <c r="AI33" s="1949"/>
      <c r="AJ33" s="287"/>
      <c r="AK33" s="97"/>
      <c r="AL33" s="12"/>
      <c r="AM33" s="95"/>
      <c r="AN33" s="266"/>
    </row>
    <row r="34" spans="1:41" ht="15.75">
      <c r="A34" s="291"/>
      <c r="B34" s="350" t="s">
        <v>384</v>
      </c>
      <c r="C34" s="291"/>
      <c r="D34" s="291"/>
      <c r="E34" s="275"/>
      <c r="F34" s="264"/>
      <c r="G34" s="275"/>
      <c r="H34" s="264"/>
      <c r="I34" s="275"/>
      <c r="J34" s="264"/>
      <c r="K34" s="275"/>
      <c r="L34" s="264"/>
      <c r="M34" s="275"/>
      <c r="N34" s="264"/>
      <c r="O34" s="275"/>
      <c r="P34" s="264"/>
      <c r="Q34" s="275"/>
      <c r="R34" s="264"/>
      <c r="S34" s="275"/>
      <c r="T34" s="264"/>
      <c r="U34" s="275"/>
      <c r="V34" s="264"/>
      <c r="W34" s="275"/>
      <c r="X34" s="264"/>
      <c r="Y34" s="275"/>
      <c r="Z34" s="264"/>
      <c r="AA34" s="275"/>
      <c r="AB34" s="275"/>
      <c r="AC34" s="275"/>
      <c r="AD34" s="264"/>
      <c r="AE34" s="523"/>
      <c r="AF34" s="289"/>
      <c r="AG34" s="1243"/>
      <c r="AH34" s="367"/>
      <c r="AI34" s="1949"/>
      <c r="AJ34" s="287"/>
      <c r="AK34" s="97"/>
      <c r="AL34" s="12"/>
      <c r="AM34" s="95"/>
      <c r="AN34" s="266"/>
    </row>
    <row r="35" spans="1:41" ht="15.75">
      <c r="A35" s="291"/>
      <c r="B35" s="350" t="s">
        <v>1474</v>
      </c>
      <c r="C35" s="291"/>
      <c r="D35" s="291"/>
      <c r="E35" s="275">
        <f>+'Exhibit I State'!E35+'Exhibit I Federal'!E18</f>
        <v>0</v>
      </c>
      <c r="F35" s="275"/>
      <c r="G35" s="275">
        <f>+'Exhibit I State'!G35+'Exhibit I Federal'!G18</f>
        <v>0</v>
      </c>
      <c r="H35" s="275"/>
      <c r="I35" s="275">
        <f>+'Exhibit I State'!I35+'Exhibit I Federal'!I18</f>
        <v>0</v>
      </c>
      <c r="J35" s="264"/>
      <c r="K35" s="275"/>
      <c r="L35" s="264"/>
      <c r="M35" s="275"/>
      <c r="N35" s="264"/>
      <c r="O35" s="275"/>
      <c r="P35" s="264"/>
      <c r="Q35" s="275"/>
      <c r="R35" s="264"/>
      <c r="S35" s="275"/>
      <c r="T35" s="275"/>
      <c r="U35" s="275"/>
      <c r="V35" s="275"/>
      <c r="W35" s="275"/>
      <c r="X35" s="275"/>
      <c r="Y35" s="275"/>
      <c r="Z35" s="275"/>
      <c r="AA35" s="275"/>
      <c r="AB35" s="275"/>
      <c r="AC35" s="275">
        <v>0</v>
      </c>
      <c r="AD35" s="264"/>
      <c r="AE35" s="523"/>
      <c r="AF35" s="289">
        <f>ROUND(SUM(E35:AC35),1)</f>
        <v>0</v>
      </c>
      <c r="AG35" s="1243"/>
      <c r="AH35" s="367"/>
      <c r="AI35" s="1949">
        <f>+'Exhibit I State'!AG35+'Exhibit I Federal'!AG18</f>
        <v>0</v>
      </c>
      <c r="AJ35" s="287"/>
      <c r="AK35" s="97"/>
      <c r="AL35" s="12">
        <f t="shared" ref="AL35" si="0">ROUND(SUM(+AF35-AI35),1)</f>
        <v>0</v>
      </c>
      <c r="AM35" s="95"/>
      <c r="AN35" s="266">
        <f>ROUND(IF(AI35=0,0,AL35/ABS(AI35)),3)</f>
        <v>0</v>
      </c>
      <c r="AO35" s="12"/>
    </row>
    <row r="36" spans="1:41" ht="15.75">
      <c r="A36" s="291"/>
      <c r="B36" s="350" t="s">
        <v>561</v>
      </c>
      <c r="C36" s="291"/>
      <c r="D36" s="291"/>
      <c r="E36" s="275">
        <f>+'Exhibit I State'!E36+'Exhibit I Federal'!E19</f>
        <v>0</v>
      </c>
      <c r="F36" s="275"/>
      <c r="G36" s="275">
        <f>+'Exhibit I State'!G36+'Exhibit I Federal'!G19</f>
        <v>0</v>
      </c>
      <c r="H36" s="275"/>
      <c r="I36" s="275">
        <f>+'Exhibit I State'!I36+'Exhibit I Federal'!I19</f>
        <v>23</v>
      </c>
      <c r="J36" s="264"/>
      <c r="K36" s="275"/>
      <c r="L36" s="264"/>
      <c r="M36" s="275"/>
      <c r="N36" s="264"/>
      <c r="O36" s="275"/>
      <c r="P36" s="264"/>
      <c r="Q36" s="275"/>
      <c r="R36" s="264"/>
      <c r="S36" s="275"/>
      <c r="T36" s="275"/>
      <c r="U36" s="275"/>
      <c r="V36" s="275"/>
      <c r="W36" s="275"/>
      <c r="X36" s="275"/>
      <c r="Y36" s="275"/>
      <c r="Z36" s="275"/>
      <c r="AA36" s="275"/>
      <c r="AB36" s="275"/>
      <c r="AC36" s="275">
        <v>0</v>
      </c>
      <c r="AD36" s="264"/>
      <c r="AE36" s="523"/>
      <c r="AF36" s="289">
        <f>ROUND(SUM(E36:AC36),1)</f>
        <v>23</v>
      </c>
      <c r="AG36" s="1243"/>
      <c r="AH36" s="367"/>
      <c r="AI36" s="1949">
        <f>+'Exhibit I State'!AG36+'Exhibit I Federal'!AG19</f>
        <v>23</v>
      </c>
      <c r="AJ36" s="287"/>
      <c r="AK36" s="97"/>
      <c r="AL36" s="12">
        <f t="shared" ref="AL36:AL59" si="1">ROUND(SUM(+AF36-AI36),1)</f>
        <v>0</v>
      </c>
      <c r="AM36" s="95"/>
      <c r="AN36" s="266">
        <f>ROUND(IF(AI36=0,0,AL36/ABS(AI36)),3)</f>
        <v>0</v>
      </c>
      <c r="AO36" s="12"/>
    </row>
    <row r="37" spans="1:41" ht="15.75">
      <c r="A37" s="291"/>
      <c r="B37" s="350" t="s">
        <v>387</v>
      </c>
      <c r="C37" s="291"/>
      <c r="D37" s="291"/>
      <c r="E37" s="275"/>
      <c r="F37" s="275"/>
      <c r="G37" s="275"/>
      <c r="H37" s="275"/>
      <c r="I37" s="275"/>
      <c r="J37" s="264"/>
      <c r="K37" s="275"/>
      <c r="L37" s="264"/>
      <c r="M37" s="275"/>
      <c r="N37" s="264"/>
      <c r="O37" s="275"/>
      <c r="P37" s="264"/>
      <c r="Q37" s="275"/>
      <c r="R37" s="264"/>
      <c r="S37" s="275"/>
      <c r="T37" s="275"/>
      <c r="U37" s="275"/>
      <c r="V37" s="275"/>
      <c r="W37" s="275"/>
      <c r="X37" s="275"/>
      <c r="Y37" s="275"/>
      <c r="Z37" s="275"/>
      <c r="AA37" s="275"/>
      <c r="AB37" s="275"/>
      <c r="AC37" s="275"/>
      <c r="AD37" s="264"/>
      <c r="AE37" s="523"/>
      <c r="AF37" s="289"/>
      <c r="AG37" s="1243"/>
      <c r="AH37" s="367"/>
      <c r="AI37" s="1949"/>
      <c r="AJ37" s="287"/>
      <c r="AK37" s="97"/>
      <c r="AL37" s="12"/>
      <c r="AM37" s="95"/>
      <c r="AN37" s="266"/>
      <c r="AO37" s="12"/>
    </row>
    <row r="38" spans="1:41" ht="15.75">
      <c r="A38" s="291"/>
      <c r="B38" s="350" t="s">
        <v>483</v>
      </c>
      <c r="C38" s="291"/>
      <c r="D38" s="291"/>
      <c r="E38" s="275">
        <f>+'Exhibit I State'!E38+'Exhibit I Federal'!E21</f>
        <v>1.9</v>
      </c>
      <c r="F38" s="275"/>
      <c r="G38" s="275">
        <f>+'Exhibit I State'!G38+'Exhibit I Federal'!G21</f>
        <v>5.5</v>
      </c>
      <c r="H38" s="275"/>
      <c r="I38" s="275">
        <f>+'Exhibit I State'!I38+'Exhibit I Federal'!I21</f>
        <v>3.1999999999999997</v>
      </c>
      <c r="J38" s="264"/>
      <c r="K38" s="275"/>
      <c r="L38" s="264"/>
      <c r="M38" s="275"/>
      <c r="N38" s="264"/>
      <c r="O38" s="275"/>
      <c r="P38" s="264"/>
      <c r="Q38" s="275"/>
      <c r="R38" s="264"/>
      <c r="S38" s="275"/>
      <c r="T38" s="275"/>
      <c r="U38" s="275"/>
      <c r="V38" s="275"/>
      <c r="W38" s="275"/>
      <c r="X38" s="275"/>
      <c r="Y38" s="275"/>
      <c r="Z38" s="275"/>
      <c r="AA38" s="275"/>
      <c r="AB38" s="275"/>
      <c r="AC38" s="275">
        <v>0</v>
      </c>
      <c r="AD38" s="264"/>
      <c r="AE38" s="523"/>
      <c r="AF38" s="289">
        <f>ROUND(SUM(E38:AC38),1)</f>
        <v>10.6</v>
      </c>
      <c r="AG38" s="1243"/>
      <c r="AH38" s="367"/>
      <c r="AI38" s="1949">
        <f>+'Exhibit I State'!AG38+'Exhibit I Federal'!AG21</f>
        <v>16.5</v>
      </c>
      <c r="AJ38" s="287"/>
      <c r="AK38" s="97"/>
      <c r="AL38" s="12">
        <f t="shared" si="1"/>
        <v>-5.9</v>
      </c>
      <c r="AM38" s="95"/>
      <c r="AN38" s="266">
        <f>ROUND(IF(AI38=0,0,AL38/ABS(AI38)),3)</f>
        <v>-0.35799999999999998</v>
      </c>
      <c r="AO38" s="12"/>
    </row>
    <row r="39" spans="1:41" ht="15.75">
      <c r="A39" s="291"/>
      <c r="B39" s="350" t="s">
        <v>392</v>
      </c>
      <c r="C39" s="291"/>
      <c r="D39" s="291"/>
      <c r="E39" s="275"/>
      <c r="F39" s="275"/>
      <c r="G39" s="275"/>
      <c r="H39" s="275"/>
      <c r="I39" s="275"/>
      <c r="J39" s="264"/>
      <c r="K39" s="275"/>
      <c r="L39" s="264"/>
      <c r="M39" s="275"/>
      <c r="N39" s="264"/>
      <c r="O39" s="275"/>
      <c r="P39" s="264"/>
      <c r="Q39" s="275"/>
      <c r="R39" s="264"/>
      <c r="S39" s="275"/>
      <c r="T39" s="275"/>
      <c r="U39" s="275"/>
      <c r="V39" s="275"/>
      <c r="W39" s="275"/>
      <c r="X39" s="275"/>
      <c r="Y39" s="275"/>
      <c r="Z39" s="275"/>
      <c r="AA39" s="275"/>
      <c r="AB39" s="275"/>
      <c r="AC39" s="275"/>
      <c r="AD39" s="264"/>
      <c r="AE39" s="523"/>
      <c r="AF39" s="289"/>
      <c r="AG39" s="1243"/>
      <c r="AH39" s="367"/>
      <c r="AI39" s="1949"/>
      <c r="AJ39" s="287"/>
      <c r="AK39" s="97"/>
      <c r="AL39" s="12"/>
      <c r="AM39" s="95"/>
      <c r="AN39" s="266"/>
      <c r="AO39" s="12"/>
    </row>
    <row r="40" spans="1:41" ht="15.75">
      <c r="A40" s="291"/>
      <c r="B40" s="350" t="s">
        <v>486</v>
      </c>
      <c r="C40" s="291"/>
      <c r="D40" s="291"/>
      <c r="E40" s="275">
        <f>+'Exhibit I State'!E40+'Exhibit I Federal'!E23</f>
        <v>1.5</v>
      </c>
      <c r="F40" s="275"/>
      <c r="G40" s="275">
        <f>+'Exhibit I State'!G40+'Exhibit I Federal'!G23</f>
        <v>8.7999999999999989</v>
      </c>
      <c r="H40" s="275"/>
      <c r="I40" s="275">
        <f>+'Exhibit I State'!I40+'Exhibit I Federal'!I23</f>
        <v>0.80000000000000071</v>
      </c>
      <c r="J40" s="264"/>
      <c r="K40" s="275"/>
      <c r="L40" s="264"/>
      <c r="M40" s="275"/>
      <c r="N40" s="264"/>
      <c r="O40" s="275"/>
      <c r="P40" s="264"/>
      <c r="Q40" s="275"/>
      <c r="R40" s="264"/>
      <c r="S40" s="275"/>
      <c r="T40" s="275"/>
      <c r="U40" s="275"/>
      <c r="V40" s="275"/>
      <c r="W40" s="275"/>
      <c r="X40" s="275"/>
      <c r="Y40" s="275"/>
      <c r="Z40" s="275"/>
      <c r="AA40" s="275"/>
      <c r="AB40" s="275"/>
      <c r="AC40" s="275">
        <v>0</v>
      </c>
      <c r="AD40" s="264"/>
      <c r="AE40" s="523"/>
      <c r="AF40" s="289">
        <f t="shared" ref="AF40:AF43" si="2">ROUND(SUM(E40:AC40),1)</f>
        <v>11.1</v>
      </c>
      <c r="AG40" s="1243"/>
      <c r="AH40" s="367"/>
      <c r="AI40" s="1949">
        <f>+'Exhibit I State'!AG40+'Exhibit I Federal'!AG23</f>
        <v>4</v>
      </c>
      <c r="AJ40" s="287"/>
      <c r="AK40" s="97"/>
      <c r="AL40" s="12">
        <f t="shared" si="1"/>
        <v>7.1</v>
      </c>
      <c r="AM40" s="95"/>
      <c r="AN40" s="266">
        <f>ROUND(IF(AI40=0,0,AL40/ABS(AI40)),3)</f>
        <v>1.7749999999999999</v>
      </c>
      <c r="AO40" s="12"/>
    </row>
    <row r="41" spans="1:41" ht="15.75">
      <c r="A41" s="291"/>
      <c r="B41" s="350" t="s">
        <v>562</v>
      </c>
      <c r="C41" s="291"/>
      <c r="D41" s="291"/>
      <c r="E41" s="275">
        <f>+'Exhibit I State'!E41+'Exhibit I Federal'!E24</f>
        <v>0</v>
      </c>
      <c r="F41" s="275"/>
      <c r="G41" s="275">
        <f>+'Exhibit I State'!G41+'Exhibit I Federal'!G24</f>
        <v>0</v>
      </c>
      <c r="H41" s="275"/>
      <c r="I41" s="275">
        <f>+'Exhibit I State'!I41+'Exhibit I Federal'!I24</f>
        <v>0</v>
      </c>
      <c r="J41" s="264"/>
      <c r="K41" s="275"/>
      <c r="L41" s="264"/>
      <c r="M41" s="275"/>
      <c r="N41" s="264"/>
      <c r="O41" s="275"/>
      <c r="P41" s="264"/>
      <c r="Q41" s="275"/>
      <c r="R41" s="264"/>
      <c r="S41" s="275"/>
      <c r="T41" s="275"/>
      <c r="U41" s="275"/>
      <c r="V41" s="275"/>
      <c r="W41" s="275"/>
      <c r="X41" s="275"/>
      <c r="Y41" s="275"/>
      <c r="Z41" s="275"/>
      <c r="AA41" s="275"/>
      <c r="AB41" s="275"/>
      <c r="AC41" s="275">
        <v>0</v>
      </c>
      <c r="AD41" s="264"/>
      <c r="AE41" s="523"/>
      <c r="AF41" s="289">
        <f t="shared" si="2"/>
        <v>0</v>
      </c>
      <c r="AG41" s="1243"/>
      <c r="AH41" s="367"/>
      <c r="AI41" s="1949">
        <f>+'Exhibit I State'!AG41+'Exhibit I Federal'!AG24</f>
        <v>0</v>
      </c>
      <c r="AJ41" s="287"/>
      <c r="AK41" s="97"/>
      <c r="AL41" s="12">
        <f>ROUND(SUM(+AF41-AI41),1)</f>
        <v>0</v>
      </c>
      <c r="AM41" s="95"/>
      <c r="AN41" s="266">
        <f>ROUND(IF(AI41=0,0,AL41/ABS(AI41)),3)</f>
        <v>0</v>
      </c>
      <c r="AO41" s="12"/>
    </row>
    <row r="42" spans="1:41" ht="15.75">
      <c r="A42" s="291"/>
      <c r="B42" s="350" t="s">
        <v>489</v>
      </c>
      <c r="C42" s="291"/>
      <c r="D42" s="291"/>
      <c r="E42" s="275">
        <f>+'Exhibit I State'!E42+'Exhibit I Federal'!E25</f>
        <v>9.8000000000000007</v>
      </c>
      <c r="F42" s="275"/>
      <c r="G42" s="275">
        <f>+'Exhibit I State'!G42+'Exhibit I Federal'!G25</f>
        <v>66.400000000000006</v>
      </c>
      <c r="H42" s="275"/>
      <c r="I42" s="275">
        <f>+'Exhibit I State'!I42+'Exhibit I Federal'!I25</f>
        <v>64.499999999999986</v>
      </c>
      <c r="J42" s="264"/>
      <c r="K42" s="275"/>
      <c r="L42" s="264"/>
      <c r="M42" s="275"/>
      <c r="N42" s="264"/>
      <c r="O42" s="275"/>
      <c r="P42" s="264"/>
      <c r="Q42" s="275"/>
      <c r="R42" s="264"/>
      <c r="S42" s="275"/>
      <c r="T42" s="275"/>
      <c r="U42" s="275"/>
      <c r="V42" s="275"/>
      <c r="W42" s="275"/>
      <c r="X42" s="275"/>
      <c r="Y42" s="275"/>
      <c r="Z42" s="275"/>
      <c r="AA42" s="275"/>
      <c r="AB42" s="275"/>
      <c r="AC42" s="275">
        <v>0</v>
      </c>
      <c r="AD42" s="264"/>
      <c r="AE42" s="523"/>
      <c r="AF42" s="289">
        <f>ROUND(SUM(E42:AC42),1)</f>
        <v>140.69999999999999</v>
      </c>
      <c r="AG42" s="1243"/>
      <c r="AH42" s="367"/>
      <c r="AI42" s="1949">
        <f>+'Exhibit I State'!AG42+'Exhibit I Federal'!AG25</f>
        <v>189.1</v>
      </c>
      <c r="AJ42" s="287"/>
      <c r="AK42" s="97"/>
      <c r="AL42" s="12">
        <f t="shared" si="1"/>
        <v>-48.4</v>
      </c>
      <c r="AM42" s="95"/>
      <c r="AN42" s="266">
        <f>ROUND(IF(AI42=0,0,AL42/ABS(AI42)),3)</f>
        <v>-0.25600000000000001</v>
      </c>
      <c r="AO42" s="12"/>
    </row>
    <row r="43" spans="1:41" ht="15.75">
      <c r="A43" s="291"/>
      <c r="B43" s="350" t="s">
        <v>490</v>
      </c>
      <c r="C43" s="291"/>
      <c r="D43" s="291"/>
      <c r="E43" s="275">
        <f>+'Exhibit I State'!E43+'Exhibit I Federal'!E26</f>
        <v>0.4</v>
      </c>
      <c r="F43" s="275"/>
      <c r="G43" s="275">
        <f>+'Exhibit I State'!G43+'Exhibit I Federal'!G26</f>
        <v>0.4</v>
      </c>
      <c r="H43" s="275"/>
      <c r="I43" s="275">
        <f>+'Exhibit I State'!I43+'Exhibit I Federal'!I26</f>
        <v>1.4000000000000004</v>
      </c>
      <c r="J43" s="264"/>
      <c r="K43" s="275"/>
      <c r="L43" s="264"/>
      <c r="M43" s="275"/>
      <c r="N43" s="264"/>
      <c r="O43" s="275"/>
      <c r="P43" s="264"/>
      <c r="Q43" s="275"/>
      <c r="R43" s="264"/>
      <c r="S43" s="275"/>
      <c r="T43" s="275"/>
      <c r="U43" s="275"/>
      <c r="V43" s="275"/>
      <c r="W43" s="275"/>
      <c r="X43" s="275"/>
      <c r="Y43" s="275"/>
      <c r="Z43" s="275"/>
      <c r="AA43" s="275"/>
      <c r="AB43" s="275"/>
      <c r="AC43" s="275">
        <v>0</v>
      </c>
      <c r="AD43" s="264"/>
      <c r="AE43" s="523"/>
      <c r="AF43" s="289">
        <f t="shared" si="2"/>
        <v>2.2000000000000002</v>
      </c>
      <c r="AG43" s="1243"/>
      <c r="AH43" s="367"/>
      <c r="AI43" s="1949">
        <f>+'Exhibit I State'!AG43+'Exhibit I Federal'!AG26</f>
        <v>9.3000000000000007</v>
      </c>
      <c r="AJ43" s="287"/>
      <c r="AK43" s="97"/>
      <c r="AL43" s="264">
        <f>ROUND(SUM(+AF43-AI43),1)</f>
        <v>-7.1</v>
      </c>
      <c r="AM43" s="264"/>
      <c r="AN43" s="542">
        <f>ROUND(IF(AI43=0,1,AL43/ABS(AI43)),3)</f>
        <v>-0.76300000000000001</v>
      </c>
      <c r="AO43" s="12"/>
    </row>
    <row r="44" spans="1:41" ht="15.75">
      <c r="A44" s="291"/>
      <c r="B44" s="350" t="s">
        <v>400</v>
      </c>
      <c r="C44" s="291"/>
      <c r="D44" s="291"/>
      <c r="E44" s="275">
        <f>+'Exhibit I State'!E44+'Exhibit I Federal'!E27</f>
        <v>5.6</v>
      </c>
      <c r="F44" s="275"/>
      <c r="G44" s="275">
        <f>+'Exhibit I State'!G44+'Exhibit I Federal'!G27</f>
        <v>1</v>
      </c>
      <c r="H44" s="275"/>
      <c r="I44" s="275">
        <f>+'Exhibit I State'!I44+'Exhibit I Federal'!I27</f>
        <v>1.3000000000000007</v>
      </c>
      <c r="J44" s="264"/>
      <c r="K44" s="275"/>
      <c r="L44" s="264"/>
      <c r="M44" s="275"/>
      <c r="N44" s="264"/>
      <c r="O44" s="275"/>
      <c r="P44" s="264"/>
      <c r="Q44" s="275"/>
      <c r="R44" s="264"/>
      <c r="S44" s="275"/>
      <c r="T44" s="275"/>
      <c r="U44" s="275"/>
      <c r="V44" s="275"/>
      <c r="W44" s="275"/>
      <c r="X44" s="275"/>
      <c r="Y44" s="275"/>
      <c r="Z44" s="275"/>
      <c r="AA44" s="275"/>
      <c r="AB44" s="275"/>
      <c r="AC44" s="275">
        <v>0</v>
      </c>
      <c r="AD44" s="264"/>
      <c r="AE44" s="523"/>
      <c r="AF44" s="289">
        <f>ROUND(SUM(E44:AC44),1)</f>
        <v>7.9</v>
      </c>
      <c r="AG44" s="1243"/>
      <c r="AH44" s="367"/>
      <c r="AI44" s="1949">
        <f>+'Exhibit I State'!AG44+'Exhibit I Federal'!AG27</f>
        <v>7</v>
      </c>
      <c r="AJ44" s="287"/>
      <c r="AK44" s="97"/>
      <c r="AL44" s="12">
        <f t="shared" si="1"/>
        <v>0.9</v>
      </c>
      <c r="AM44" s="95"/>
      <c r="AN44" s="542">
        <f>ROUND(IF(AI44=0,1,AL44/ABS(AI44)),3)</f>
        <v>0.129</v>
      </c>
      <c r="AO44" s="12"/>
    </row>
    <row r="45" spans="1:41" ht="15.75">
      <c r="A45" s="291"/>
      <c r="B45" s="350" t="s">
        <v>406</v>
      </c>
      <c r="C45" s="291"/>
      <c r="D45" s="291"/>
      <c r="E45" s="275">
        <f>+'Exhibit I State'!E45+'Exhibit I Federal'!E28</f>
        <v>4.1999999999999993</v>
      </c>
      <c r="F45" s="275"/>
      <c r="G45" s="275">
        <f>+'Exhibit I State'!G45+'Exhibit I Federal'!G28</f>
        <v>4.1999999999999993</v>
      </c>
      <c r="H45" s="275"/>
      <c r="I45" s="275">
        <f>+'Exhibit I State'!I45+'Exhibit I Federal'!I28</f>
        <v>4.5</v>
      </c>
      <c r="J45" s="264"/>
      <c r="K45" s="275"/>
      <c r="L45" s="264"/>
      <c r="M45" s="275"/>
      <c r="N45" s="264"/>
      <c r="O45" s="275"/>
      <c r="P45" s="264"/>
      <c r="Q45" s="275"/>
      <c r="R45" s="264"/>
      <c r="S45" s="275"/>
      <c r="T45" s="275"/>
      <c r="U45" s="275"/>
      <c r="V45" s="275"/>
      <c r="W45" s="275"/>
      <c r="X45" s="275"/>
      <c r="Y45" s="275"/>
      <c r="Z45" s="275"/>
      <c r="AA45" s="275"/>
      <c r="AB45" s="275"/>
      <c r="AC45" s="275">
        <v>0</v>
      </c>
      <c r="AD45" s="264"/>
      <c r="AE45" s="523"/>
      <c r="AF45" s="289">
        <f>ROUND(SUM(E45:AC45),1)</f>
        <v>12.9</v>
      </c>
      <c r="AG45" s="1243"/>
      <c r="AH45" s="367"/>
      <c r="AI45" s="1949">
        <f>+'Exhibit I State'!AG45+'Exhibit I Federal'!AG28</f>
        <v>12.2</v>
      </c>
      <c r="AJ45" s="287"/>
      <c r="AK45" s="97"/>
      <c r="AL45" s="12">
        <f>ROUND(SUM(+AF45-AI45),1)</f>
        <v>0.7</v>
      </c>
      <c r="AM45" s="95"/>
      <c r="AN45" s="542">
        <f>ROUND(IF(AI45=0,1,AL45/ABS(AI45)),3)</f>
        <v>5.7000000000000002E-2</v>
      </c>
      <c r="AO45" s="12"/>
    </row>
    <row r="46" spans="1:41" ht="15.75">
      <c r="A46" s="291"/>
      <c r="B46" s="350" t="s">
        <v>407</v>
      </c>
      <c r="C46" s="291"/>
      <c r="D46" s="291"/>
      <c r="E46" s="275">
        <f>+'Exhibit I State'!E46+'Exhibit I Federal'!E29</f>
        <v>0</v>
      </c>
      <c r="F46" s="275"/>
      <c r="G46" s="275">
        <f>+'Exhibit I State'!G46+'Exhibit I Federal'!G29</f>
        <v>0</v>
      </c>
      <c r="H46" s="275"/>
      <c r="I46" s="275">
        <f>+'Exhibit I State'!I46+'Exhibit I Federal'!I29</f>
        <v>0</v>
      </c>
      <c r="J46" s="264"/>
      <c r="K46" s="275"/>
      <c r="L46" s="264"/>
      <c r="M46" s="275"/>
      <c r="N46" s="264"/>
      <c r="O46" s="275"/>
      <c r="P46" s="264"/>
      <c r="Q46" s="275"/>
      <c r="R46" s="264"/>
      <c r="S46" s="275"/>
      <c r="T46" s="275"/>
      <c r="U46" s="275"/>
      <c r="V46" s="275"/>
      <c r="W46" s="275"/>
      <c r="X46" s="275"/>
      <c r="Y46" s="275"/>
      <c r="Z46" s="275"/>
      <c r="AA46" s="275"/>
      <c r="AB46" s="275"/>
      <c r="AC46" s="275">
        <v>0</v>
      </c>
      <c r="AD46" s="264"/>
      <c r="AE46" s="523"/>
      <c r="AF46" s="289">
        <f>ROUND(SUM(E46:AC46),1)</f>
        <v>0</v>
      </c>
      <c r="AG46" s="1243"/>
      <c r="AH46" s="367"/>
      <c r="AI46" s="1949">
        <f>+'Exhibit I State'!AG46+'Exhibit I Federal'!AG29</f>
        <v>0</v>
      </c>
      <c r="AJ46" s="287"/>
      <c r="AK46" s="97"/>
      <c r="AL46" s="12">
        <f>ROUND(SUM(+AF46-AI46),1)</f>
        <v>0</v>
      </c>
      <c r="AM46" s="95"/>
      <c r="AN46" s="542">
        <f>ROUND(IF(AI46=0,0,AL46/ABS(AI46)),3)</f>
        <v>0</v>
      </c>
      <c r="AO46" s="12"/>
    </row>
    <row r="47" spans="1:41" ht="15.75">
      <c r="A47" s="291"/>
      <c r="B47" s="350" t="s">
        <v>408</v>
      </c>
      <c r="C47" s="291"/>
      <c r="D47" s="291"/>
      <c r="E47" s="275"/>
      <c r="F47" s="275"/>
      <c r="G47" s="275"/>
      <c r="H47" s="275"/>
      <c r="I47" s="275"/>
      <c r="J47" s="264"/>
      <c r="K47" s="275"/>
      <c r="L47" s="264"/>
      <c r="M47" s="275"/>
      <c r="N47" s="264"/>
      <c r="O47" s="275"/>
      <c r="P47" s="264"/>
      <c r="Q47" s="275"/>
      <c r="R47" s="264"/>
      <c r="S47" s="275"/>
      <c r="T47" s="275"/>
      <c r="U47" s="275"/>
      <c r="V47" s="275"/>
      <c r="W47" s="275"/>
      <c r="X47" s="275"/>
      <c r="Y47" s="275"/>
      <c r="Z47" s="275"/>
      <c r="AA47" s="275"/>
      <c r="AB47" s="275"/>
      <c r="AC47" s="275"/>
      <c r="AD47" s="264"/>
      <c r="AE47" s="523"/>
      <c r="AF47" s="289"/>
      <c r="AG47" s="1243"/>
      <c r="AH47" s="367"/>
      <c r="AI47" s="1949"/>
      <c r="AJ47" s="287"/>
      <c r="AK47" s="97"/>
      <c r="AL47" s="12"/>
      <c r="AM47" s="95"/>
      <c r="AN47" s="374"/>
      <c r="AO47" s="12"/>
    </row>
    <row r="48" spans="1:41" ht="15.75">
      <c r="A48" s="291"/>
      <c r="B48" s="350" t="s">
        <v>494</v>
      </c>
      <c r="C48" s="291"/>
      <c r="D48" s="291"/>
      <c r="E48" s="275">
        <f>+'Exhibit I State'!E48+'Exhibit I Federal'!E31</f>
        <v>3.8000000000000003</v>
      </c>
      <c r="F48" s="275"/>
      <c r="G48" s="275">
        <f>+'Exhibit I State'!G48+'Exhibit I Federal'!G31</f>
        <v>0.69999999999999973</v>
      </c>
      <c r="H48" s="275"/>
      <c r="I48" s="275">
        <f>+'Exhibit I State'!I48+'Exhibit I Federal'!I31</f>
        <v>2220.1</v>
      </c>
      <c r="J48" s="264"/>
      <c r="K48" s="275"/>
      <c r="L48" s="264"/>
      <c r="M48" s="275"/>
      <c r="N48" s="264"/>
      <c r="O48" s="275"/>
      <c r="P48" s="264"/>
      <c r="Q48" s="275"/>
      <c r="R48" s="264"/>
      <c r="S48" s="275"/>
      <c r="T48" s="275"/>
      <c r="U48" s="275"/>
      <c r="V48" s="275"/>
      <c r="W48" s="275"/>
      <c r="X48" s="275"/>
      <c r="Y48" s="275"/>
      <c r="Z48" s="275"/>
      <c r="AA48" s="275"/>
      <c r="AB48" s="275"/>
      <c r="AC48" s="275">
        <v>0</v>
      </c>
      <c r="AD48" s="264"/>
      <c r="AE48" s="523"/>
      <c r="AF48" s="289">
        <f>ROUND(SUM(E48:AC48),1)</f>
        <v>2224.6</v>
      </c>
      <c r="AG48" s="1243"/>
      <c r="AH48" s="367"/>
      <c r="AI48" s="1949">
        <f>+'Exhibit I State'!AG48+'Exhibit I Federal'!AG31</f>
        <v>101.4</v>
      </c>
      <c r="AJ48" s="287"/>
      <c r="AK48" s="97"/>
      <c r="AL48" s="12">
        <f t="shared" si="1"/>
        <v>2123.1999999999998</v>
      </c>
      <c r="AM48" s="95"/>
      <c r="AN48" s="547">
        <f>ROUND(IF(AI48=0,1,AL48/ABS(AI48)),3)</f>
        <v>20.939</v>
      </c>
      <c r="AO48" s="12"/>
    </row>
    <row r="49" spans="1:42" ht="15.75">
      <c r="A49" s="291"/>
      <c r="B49" s="350" t="s">
        <v>496</v>
      </c>
      <c r="C49" s="291"/>
      <c r="D49" s="291"/>
      <c r="E49" s="275">
        <f>+'Exhibit I State'!E49+'Exhibit I Federal'!E32</f>
        <v>0</v>
      </c>
      <c r="F49" s="275"/>
      <c r="G49" s="275">
        <f>+'Exhibit I State'!G49+'Exhibit I Federal'!G32</f>
        <v>0</v>
      </c>
      <c r="H49" s="275"/>
      <c r="I49" s="275">
        <f>+'Exhibit I State'!I49+'Exhibit I Federal'!I32</f>
        <v>0</v>
      </c>
      <c r="J49" s="275"/>
      <c r="K49" s="275"/>
      <c r="L49" s="275"/>
      <c r="M49" s="275"/>
      <c r="N49" s="275"/>
      <c r="O49" s="275"/>
      <c r="P49" s="275"/>
      <c r="Q49" s="275"/>
      <c r="R49" s="264"/>
      <c r="S49" s="275"/>
      <c r="T49" s="275"/>
      <c r="U49" s="275"/>
      <c r="V49" s="275"/>
      <c r="W49" s="275"/>
      <c r="X49" s="275"/>
      <c r="Y49" s="275"/>
      <c r="Z49" s="275"/>
      <c r="AA49" s="275"/>
      <c r="AB49" s="275"/>
      <c r="AC49" s="275">
        <v>0</v>
      </c>
      <c r="AD49" s="264"/>
      <c r="AE49" s="523"/>
      <c r="AF49" s="289">
        <f>ROUND(SUM(E49:AC49),1)</f>
        <v>0</v>
      </c>
      <c r="AG49" s="1243"/>
      <c r="AH49" s="367"/>
      <c r="AI49" s="1949">
        <f>+'Exhibit I State'!AG49+'Exhibit I Federal'!AG32</f>
        <v>0</v>
      </c>
      <c r="AJ49" s="287"/>
      <c r="AK49" s="97"/>
      <c r="AL49" s="12">
        <f t="shared" si="1"/>
        <v>0</v>
      </c>
      <c r="AM49" s="95"/>
      <c r="AN49" s="266">
        <f>ROUND(IF(AI49=0,0,AL49/ABS(AI49)),3)</f>
        <v>0</v>
      </c>
      <c r="AO49" s="12"/>
    </row>
    <row r="50" spans="1:42" ht="15.75">
      <c r="A50" s="291"/>
      <c r="B50" s="350" t="s">
        <v>497</v>
      </c>
      <c r="C50" s="291"/>
      <c r="D50" s="291"/>
      <c r="E50" s="275">
        <f>+'Exhibit I State'!E50+'Exhibit I Federal'!E33</f>
        <v>0.2</v>
      </c>
      <c r="F50" s="275"/>
      <c r="G50" s="275">
        <f>+'Exhibit I State'!G50+'Exhibit I Federal'!G33</f>
        <v>0</v>
      </c>
      <c r="H50" s="275"/>
      <c r="I50" s="275">
        <f>+'Exhibit I State'!I50+'Exhibit I Federal'!I33</f>
        <v>61.699999999999996</v>
      </c>
      <c r="J50" s="264"/>
      <c r="K50" s="275"/>
      <c r="L50" s="264"/>
      <c r="M50" s="275"/>
      <c r="N50" s="264"/>
      <c r="O50" s="275"/>
      <c r="P50" s="264"/>
      <c r="Q50" s="275"/>
      <c r="R50" s="264"/>
      <c r="S50" s="275"/>
      <c r="T50" s="275"/>
      <c r="U50" s="275"/>
      <c r="V50" s="275"/>
      <c r="W50" s="275"/>
      <c r="X50" s="275"/>
      <c r="Y50" s="275"/>
      <c r="Z50" s="275"/>
      <c r="AA50" s="275"/>
      <c r="AB50" s="275"/>
      <c r="AC50" s="275">
        <v>0</v>
      </c>
      <c r="AD50" s="264"/>
      <c r="AE50" s="523"/>
      <c r="AF50" s="289">
        <f>ROUND(SUM(E50:AC50),1)</f>
        <v>61.9</v>
      </c>
      <c r="AG50" s="1243"/>
      <c r="AH50" s="367"/>
      <c r="AI50" s="1949">
        <f>+'Exhibit I State'!AG50+'Exhibit I Federal'!AG33</f>
        <v>12.3</v>
      </c>
      <c r="AJ50" s="287"/>
      <c r="AK50" s="97"/>
      <c r="AL50" s="12">
        <f t="shared" si="1"/>
        <v>49.6</v>
      </c>
      <c r="AM50" s="95"/>
      <c r="AN50" s="561">
        <f>ROUND(IF(AI50=0,1,AL50/ABS(AI50)),3)</f>
        <v>4.0330000000000004</v>
      </c>
      <c r="AO50" s="12"/>
    </row>
    <row r="51" spans="1:42" ht="15.75">
      <c r="A51" s="291"/>
      <c r="B51" s="350" t="s">
        <v>413</v>
      </c>
      <c r="C51" s="291"/>
      <c r="D51" s="291"/>
      <c r="E51" s="275">
        <f>+'Exhibit I State'!E51+'Exhibit I Federal'!E34</f>
        <v>0.8</v>
      </c>
      <c r="F51" s="275"/>
      <c r="G51" s="275">
        <f>+'Exhibit I State'!G51+'Exhibit I Federal'!G34</f>
        <v>1.4999999999999998</v>
      </c>
      <c r="H51" s="275"/>
      <c r="I51" s="275">
        <f>+'Exhibit I State'!I51+'Exhibit I Federal'!I34</f>
        <v>0.80000000000000027</v>
      </c>
      <c r="J51" s="264"/>
      <c r="K51" s="275"/>
      <c r="L51" s="264"/>
      <c r="M51" s="275"/>
      <c r="N51" s="264"/>
      <c r="O51" s="275"/>
      <c r="P51" s="264"/>
      <c r="Q51" s="275"/>
      <c r="R51" s="264"/>
      <c r="S51" s="275"/>
      <c r="T51" s="275"/>
      <c r="U51" s="275"/>
      <c r="V51" s="275"/>
      <c r="W51" s="275"/>
      <c r="X51" s="275"/>
      <c r="Y51" s="275"/>
      <c r="Z51" s="275"/>
      <c r="AA51" s="275"/>
      <c r="AB51" s="275"/>
      <c r="AC51" s="275">
        <v>0</v>
      </c>
      <c r="AD51" s="264"/>
      <c r="AE51" s="523"/>
      <c r="AF51" s="289">
        <f>ROUND(SUM(E51:AC51),1)</f>
        <v>3.1</v>
      </c>
      <c r="AG51" s="1243"/>
      <c r="AH51" s="367"/>
      <c r="AI51" s="884">
        <f>+'Exhibit I State'!AG51+'Exhibit I Federal'!AG34</f>
        <v>3.8</v>
      </c>
      <c r="AJ51" s="287"/>
      <c r="AK51" s="97"/>
      <c r="AL51" s="12">
        <f t="shared" si="1"/>
        <v>-0.7</v>
      </c>
      <c r="AM51" s="95"/>
      <c r="AN51" s="374">
        <f>ROUND(IF(AI51=0,0,AL51/ABS(AI51)),3)</f>
        <v>-0.184</v>
      </c>
      <c r="AO51" s="12"/>
    </row>
    <row r="52" spans="1:42" ht="15.75">
      <c r="A52" s="291"/>
      <c r="B52" s="350" t="s">
        <v>414</v>
      </c>
      <c r="C52" s="291"/>
      <c r="D52" s="291"/>
      <c r="E52" s="275"/>
      <c r="F52" s="275"/>
      <c r="G52" s="275"/>
      <c r="H52" s="275"/>
      <c r="I52" s="275"/>
      <c r="J52" s="264"/>
      <c r="K52" s="275"/>
      <c r="L52" s="264"/>
      <c r="M52" s="275"/>
      <c r="N52" s="264"/>
      <c r="O52" s="275"/>
      <c r="P52" s="264"/>
      <c r="Q52" s="275"/>
      <c r="R52" s="264"/>
      <c r="S52" s="275"/>
      <c r="T52" s="275"/>
      <c r="U52" s="275"/>
      <c r="V52" s="275"/>
      <c r="W52" s="275"/>
      <c r="X52" s="275"/>
      <c r="Y52" s="275"/>
      <c r="Z52" s="275"/>
      <c r="AA52" s="275"/>
      <c r="AB52" s="275"/>
      <c r="AC52" s="275" t="s">
        <v>103</v>
      </c>
      <c r="AD52" s="264"/>
      <c r="AE52" s="523"/>
      <c r="AF52" s="289"/>
      <c r="AG52" s="1243"/>
      <c r="AH52" s="367"/>
      <c r="AI52" s="1949"/>
      <c r="AJ52" s="287"/>
      <c r="AK52" s="97"/>
      <c r="AL52" s="12"/>
      <c r="AM52" s="95"/>
      <c r="AN52" s="374"/>
      <c r="AO52" s="12"/>
    </row>
    <row r="53" spans="1:42" ht="15.75">
      <c r="A53" s="291"/>
      <c r="B53" s="350" t="s">
        <v>498</v>
      </c>
      <c r="C53" s="291"/>
      <c r="D53" s="291"/>
      <c r="E53" s="275">
        <f>+'Exhibit I State'!E53+'Exhibit I Federal'!E36</f>
        <v>0</v>
      </c>
      <c r="F53" s="275"/>
      <c r="G53" s="275">
        <f>+'Exhibit I State'!G53+'Exhibit I Federal'!G36</f>
        <v>0</v>
      </c>
      <c r="H53" s="275"/>
      <c r="I53" s="275">
        <f>+'Exhibit I State'!I53+'Exhibit I Federal'!I36</f>
        <v>0</v>
      </c>
      <c r="J53" s="264"/>
      <c r="K53" s="275"/>
      <c r="L53" s="264"/>
      <c r="M53" s="275"/>
      <c r="N53" s="264"/>
      <c r="O53" s="275"/>
      <c r="P53" s="264"/>
      <c r="Q53" s="275"/>
      <c r="R53" s="264"/>
      <c r="S53" s="275"/>
      <c r="T53" s="275"/>
      <c r="U53" s="275"/>
      <c r="V53" s="275"/>
      <c r="W53" s="275"/>
      <c r="X53" s="275"/>
      <c r="Y53" s="275"/>
      <c r="Z53" s="275"/>
      <c r="AA53" s="275"/>
      <c r="AB53" s="275"/>
      <c r="AC53" s="275">
        <v>0</v>
      </c>
      <c r="AD53" s="264"/>
      <c r="AE53" s="523"/>
      <c r="AF53" s="289">
        <f t="shared" ref="AF53:AF57" si="3">ROUND(SUM(E53:AC53),1)</f>
        <v>0</v>
      </c>
      <c r="AG53" s="1243"/>
      <c r="AH53" s="367"/>
      <c r="AI53" s="1949">
        <f>+'Exhibit I State'!AG53+'Exhibit I Federal'!AG36</f>
        <v>0</v>
      </c>
      <c r="AJ53" s="287"/>
      <c r="AK53" s="97"/>
      <c r="AL53" s="264">
        <f>ROUND(SUM(+AF53-AI53),1)</f>
        <v>0</v>
      </c>
      <c r="AM53" s="264"/>
      <c r="AN53" s="266">
        <f>ROUND(IF(AI53=0,0,AL53/ABS(AI53)),3)</f>
        <v>0</v>
      </c>
      <c r="AO53" s="12"/>
    </row>
    <row r="54" spans="1:42" ht="15.75">
      <c r="A54" s="291"/>
      <c r="B54" s="350" t="s">
        <v>500</v>
      </c>
      <c r="C54" s="291"/>
      <c r="D54" s="291"/>
      <c r="E54" s="275">
        <f>+'Exhibit I State'!E54+'Exhibit I Federal'!E37</f>
        <v>0.1</v>
      </c>
      <c r="F54" s="275"/>
      <c r="G54" s="275">
        <f>+'Exhibit I State'!G54+'Exhibit I Federal'!G37</f>
        <v>0.1</v>
      </c>
      <c r="H54" s="275"/>
      <c r="I54" s="275">
        <f>+'Exhibit I State'!I54+'Exhibit I Federal'!I37</f>
        <v>0.30000000000000004</v>
      </c>
      <c r="J54" s="264"/>
      <c r="K54" s="275"/>
      <c r="L54" s="264"/>
      <c r="M54" s="275"/>
      <c r="N54" s="264"/>
      <c r="O54" s="275"/>
      <c r="P54" s="264"/>
      <c r="Q54" s="275"/>
      <c r="R54" s="264"/>
      <c r="S54" s="275"/>
      <c r="T54" s="275"/>
      <c r="U54" s="275"/>
      <c r="V54" s="275"/>
      <c r="W54" s="275"/>
      <c r="X54" s="275"/>
      <c r="Y54" s="275"/>
      <c r="Z54" s="275"/>
      <c r="AA54" s="275"/>
      <c r="AB54" s="275"/>
      <c r="AC54" s="275">
        <v>0</v>
      </c>
      <c r="AD54" s="264"/>
      <c r="AE54" s="523"/>
      <c r="AF54" s="289">
        <f t="shared" si="3"/>
        <v>0.5</v>
      </c>
      <c r="AG54" s="1243"/>
      <c r="AH54" s="367"/>
      <c r="AI54" s="1949">
        <f>+'Exhibit I State'!AG54+'Exhibit I Federal'!AG37</f>
        <v>13.3</v>
      </c>
      <c r="AJ54" s="287"/>
      <c r="AK54" s="97"/>
      <c r="AL54" s="264">
        <f>ROUND(SUM(+AF54-AI54),1)</f>
        <v>-12.8</v>
      </c>
      <c r="AM54" s="264"/>
      <c r="AN54" s="266">
        <f>ROUND(IF(AI54=0,0,AL54/ABS(AI54)),3)</f>
        <v>-0.96199999999999997</v>
      </c>
      <c r="AO54" s="12"/>
    </row>
    <row r="55" spans="1:42" ht="15.75">
      <c r="A55" s="291"/>
      <c r="B55" s="350" t="s">
        <v>501</v>
      </c>
      <c r="C55" s="291"/>
      <c r="D55" s="291"/>
      <c r="E55" s="275">
        <f>+'Exhibit I State'!E55+'Exhibit I Federal'!E38</f>
        <v>9.5</v>
      </c>
      <c r="F55" s="275"/>
      <c r="G55" s="275">
        <f>+'Exhibit I State'!G55+'Exhibit I Federal'!G38</f>
        <v>1.6999999999999993</v>
      </c>
      <c r="H55" s="275"/>
      <c r="I55" s="275">
        <f>+'Exhibit I State'!I55+'Exhibit I Federal'!I38</f>
        <v>21.000000000000004</v>
      </c>
      <c r="J55" s="264"/>
      <c r="K55" s="275"/>
      <c r="L55" s="264"/>
      <c r="M55" s="275"/>
      <c r="N55" s="264"/>
      <c r="O55" s="275"/>
      <c r="P55" s="264"/>
      <c r="Q55" s="275"/>
      <c r="R55" s="264"/>
      <c r="S55" s="275"/>
      <c r="T55" s="275"/>
      <c r="U55" s="275"/>
      <c r="V55" s="275"/>
      <c r="W55" s="275"/>
      <c r="X55" s="275"/>
      <c r="Y55" s="275"/>
      <c r="Z55" s="275"/>
      <c r="AA55" s="275"/>
      <c r="AB55" s="275"/>
      <c r="AC55" s="275">
        <v>0</v>
      </c>
      <c r="AD55" s="264"/>
      <c r="AE55" s="523"/>
      <c r="AF55" s="289">
        <f t="shared" si="3"/>
        <v>32.200000000000003</v>
      </c>
      <c r="AG55" s="1243"/>
      <c r="AH55" s="367"/>
      <c r="AI55" s="1949">
        <f>+'Exhibit I State'!AG55+'Exhibit I Federal'!AG38</f>
        <v>17.3</v>
      </c>
      <c r="AJ55" s="287"/>
      <c r="AK55" s="97"/>
      <c r="AL55" s="264">
        <f>ROUND(SUM(+AF55-AI55),1)</f>
        <v>14.9</v>
      </c>
      <c r="AM55" s="264"/>
      <c r="AN55" s="266">
        <f>ROUND(IF(AI55=0,1,AL55/ABS(AI55)),3)</f>
        <v>0.86099999999999999</v>
      </c>
      <c r="AO55" s="12"/>
    </row>
    <row r="56" spans="1:42" ht="15.75">
      <c r="A56" s="291"/>
      <c r="B56" s="350" t="s">
        <v>503</v>
      </c>
      <c r="C56" s="291"/>
      <c r="D56" s="291"/>
      <c r="E56" s="275">
        <f>+'Exhibit I State'!E56</f>
        <v>0</v>
      </c>
      <c r="F56" s="275"/>
      <c r="G56" s="275">
        <f>+'Exhibit I State'!G56</f>
        <v>0.1</v>
      </c>
      <c r="H56" s="275"/>
      <c r="I56" s="275">
        <f>+'Exhibit I State'!I56</f>
        <v>0</v>
      </c>
      <c r="J56" s="264"/>
      <c r="K56" s="275"/>
      <c r="L56" s="264"/>
      <c r="M56" s="275"/>
      <c r="N56" s="264"/>
      <c r="O56" s="275"/>
      <c r="P56" s="264"/>
      <c r="Q56" s="275"/>
      <c r="R56" s="264"/>
      <c r="S56" s="275"/>
      <c r="T56" s="275"/>
      <c r="U56" s="275"/>
      <c r="V56" s="275"/>
      <c r="W56" s="275"/>
      <c r="X56" s="275"/>
      <c r="Y56" s="275"/>
      <c r="Z56" s="275"/>
      <c r="AA56" s="275"/>
      <c r="AB56" s="275"/>
      <c r="AC56" s="275">
        <v>0</v>
      </c>
      <c r="AD56" s="264"/>
      <c r="AE56" s="523"/>
      <c r="AF56" s="289">
        <f t="shared" si="3"/>
        <v>0.1</v>
      </c>
      <c r="AG56" s="1243"/>
      <c r="AH56" s="367"/>
      <c r="AI56" s="1949">
        <f>+'Exhibit I State'!AG56</f>
        <v>0</v>
      </c>
      <c r="AJ56" s="287"/>
      <c r="AK56" s="97"/>
      <c r="AL56" s="264">
        <f>ROUND(SUM(+AF56-AI56),1)</f>
        <v>0.1</v>
      </c>
      <c r="AM56" s="264"/>
      <c r="AN56" s="266">
        <f>ROUND(IF(AI56=0,1,AL56/ABS(AI56)),3)</f>
        <v>1</v>
      </c>
      <c r="AO56" s="12"/>
    </row>
    <row r="57" spans="1:42" ht="15.75">
      <c r="A57" s="291"/>
      <c r="B57" s="350" t="s">
        <v>504</v>
      </c>
      <c r="C57" s="291"/>
      <c r="D57" s="291"/>
      <c r="E57" s="275">
        <f>+'Exhibit I State'!E57+'Exhibit I Federal'!E39</f>
        <v>0.8</v>
      </c>
      <c r="F57" s="275"/>
      <c r="G57" s="275">
        <f>+'Exhibit I State'!G57+'Exhibit I Federal'!G39</f>
        <v>1</v>
      </c>
      <c r="H57" s="275"/>
      <c r="I57" s="275">
        <f>+'Exhibit I State'!I57+'Exhibit I Federal'!I39</f>
        <v>0.8</v>
      </c>
      <c r="J57" s="264"/>
      <c r="K57" s="275"/>
      <c r="L57" s="264"/>
      <c r="M57" s="275"/>
      <c r="N57" s="264"/>
      <c r="O57" s="275"/>
      <c r="P57" s="264"/>
      <c r="Q57" s="275"/>
      <c r="R57" s="264"/>
      <c r="S57" s="275"/>
      <c r="T57" s="275"/>
      <c r="U57" s="275"/>
      <c r="V57" s="275"/>
      <c r="W57" s="275"/>
      <c r="X57" s="275"/>
      <c r="Y57" s="275"/>
      <c r="Z57" s="275"/>
      <c r="AA57" s="275"/>
      <c r="AB57" s="275"/>
      <c r="AC57" s="275">
        <v>0</v>
      </c>
      <c r="AD57" s="264"/>
      <c r="AE57" s="523"/>
      <c r="AF57" s="289">
        <f t="shared" si="3"/>
        <v>2.6</v>
      </c>
      <c r="AG57" s="1243"/>
      <c r="AH57" s="367"/>
      <c r="AI57" s="1949">
        <f>+'Exhibit I State'!AG57+'Exhibit I Federal'!AG39</f>
        <v>0.3</v>
      </c>
      <c r="AJ57" s="287"/>
      <c r="AK57" s="97"/>
      <c r="AL57" s="12">
        <f t="shared" si="1"/>
        <v>2.2999999999999998</v>
      </c>
      <c r="AM57" s="95"/>
      <c r="AN57" s="547">
        <f>ROUND(IF(AI57=0,1,AL57/ABS(AI57)),3)</f>
        <v>7.6669999999999998</v>
      </c>
      <c r="AO57" s="12"/>
    </row>
    <row r="58" spans="1:42" ht="15.75">
      <c r="A58" s="291"/>
      <c r="B58" s="350" t="s">
        <v>505</v>
      </c>
      <c r="C58" s="291"/>
      <c r="D58" s="291"/>
      <c r="E58" s="275">
        <f>+'Exhibit I State'!E58+'Exhibit I Federal'!E40</f>
        <v>0.4</v>
      </c>
      <c r="F58" s="275"/>
      <c r="G58" s="275">
        <f>+'Exhibit I State'!G58+'Exhibit I Federal'!G40</f>
        <v>2.7</v>
      </c>
      <c r="H58" s="275"/>
      <c r="I58" s="275">
        <f>+'Exhibit I State'!I58+'Exhibit I Federal'!I40</f>
        <v>9.9999999999999978E-2</v>
      </c>
      <c r="J58" s="264"/>
      <c r="K58" s="275"/>
      <c r="L58" s="264"/>
      <c r="M58" s="275"/>
      <c r="N58" s="264"/>
      <c r="O58" s="275"/>
      <c r="P58" s="264"/>
      <c r="Q58" s="275"/>
      <c r="R58" s="264"/>
      <c r="S58" s="275"/>
      <c r="T58" s="275"/>
      <c r="U58" s="275"/>
      <c r="V58" s="275"/>
      <c r="W58" s="275"/>
      <c r="X58" s="275"/>
      <c r="Y58" s="275"/>
      <c r="Z58" s="275"/>
      <c r="AA58" s="275"/>
      <c r="AB58" s="275"/>
      <c r="AC58" s="275">
        <v>0</v>
      </c>
      <c r="AD58" s="264"/>
      <c r="AE58" s="523"/>
      <c r="AF58" s="289">
        <f>ROUND(SUM(E58:AC58),1)</f>
        <v>3.2</v>
      </c>
      <c r="AG58" s="1243"/>
      <c r="AH58" s="367"/>
      <c r="AI58" s="884">
        <f>+'Exhibit I State'!AG58+'Exhibit I Federal'!AG40</f>
        <v>6.2</v>
      </c>
      <c r="AJ58" s="287"/>
      <c r="AK58" s="97"/>
      <c r="AL58" s="12">
        <f t="shared" si="1"/>
        <v>-3</v>
      </c>
      <c r="AM58" s="95"/>
      <c r="AN58" s="859">
        <f>ROUND(IF(AI58=0,0,AL58/ABS(AI58)),3)</f>
        <v>-0.48399999999999999</v>
      </c>
      <c r="AO58" s="12"/>
    </row>
    <row r="59" spans="1:42" ht="15.75">
      <c r="A59" s="291"/>
      <c r="B59" s="350" t="s">
        <v>424</v>
      </c>
      <c r="C59" s="291"/>
      <c r="D59" s="291"/>
      <c r="E59" s="275">
        <f>+'Exhibit I State'!E59+'Exhibit I Federal'!E41</f>
        <v>0.1</v>
      </c>
      <c r="F59" s="275"/>
      <c r="G59" s="275">
        <f>+'Exhibit I State'!G59+'Exhibit I Federal'!G41</f>
        <v>0.1</v>
      </c>
      <c r="H59" s="275"/>
      <c r="I59" s="275">
        <f>+'Exhibit I State'!I59+'Exhibit I Federal'!I41</f>
        <v>0.30000000000000004</v>
      </c>
      <c r="J59" s="264"/>
      <c r="K59" s="275"/>
      <c r="L59" s="264"/>
      <c r="M59" s="275"/>
      <c r="N59" s="264"/>
      <c r="O59" s="275"/>
      <c r="P59" s="264"/>
      <c r="Q59" s="275"/>
      <c r="R59" s="264"/>
      <c r="S59" s="275"/>
      <c r="T59" s="275"/>
      <c r="U59" s="275"/>
      <c r="V59" s="275"/>
      <c r="W59" s="275"/>
      <c r="X59" s="275"/>
      <c r="Y59" s="275"/>
      <c r="Z59" s="275"/>
      <c r="AA59" s="275"/>
      <c r="AB59" s="275"/>
      <c r="AC59" s="275">
        <v>0</v>
      </c>
      <c r="AD59" s="264"/>
      <c r="AE59" s="523"/>
      <c r="AF59" s="289">
        <f>ROUND(SUM(E59:AC59),1)</f>
        <v>0.5</v>
      </c>
      <c r="AG59" s="1243"/>
      <c r="AH59" s="367"/>
      <c r="AI59" s="1949">
        <f>+'Exhibit I State'!AG59+'Exhibit I Federal'!AG41</f>
        <v>0.3</v>
      </c>
      <c r="AJ59" s="287"/>
      <c r="AK59" s="97"/>
      <c r="AL59" s="12">
        <f t="shared" si="1"/>
        <v>0.2</v>
      </c>
      <c r="AM59" s="95"/>
      <c r="AN59" s="542">
        <f>ROUND(IF(AI59=0,1,AL59/ABS(AI59)),3)</f>
        <v>0.66700000000000004</v>
      </c>
      <c r="AO59" s="12"/>
    </row>
    <row r="60" spans="1:42" s="3" customFormat="1" ht="15.75">
      <c r="B60" s="83" t="s">
        <v>526</v>
      </c>
      <c r="E60" s="68">
        <f>ROUND(SUM(E34:E59),1)</f>
        <v>39.1</v>
      </c>
      <c r="F60" s="13"/>
      <c r="G60" s="68">
        <f>ROUND(SUM(G35:G59),1)</f>
        <v>94.2</v>
      </c>
      <c r="H60" s="393"/>
      <c r="I60" s="68">
        <f>ROUND(SUM(I36:I59),1)</f>
        <v>2403.8000000000002</v>
      </c>
      <c r="J60" s="13"/>
      <c r="K60" s="68">
        <f>ROUND(SUM(K36:K59),1)</f>
        <v>0</v>
      </c>
      <c r="L60" s="13"/>
      <c r="M60" s="68">
        <f>ROUND(SUM(M36:M59),1)</f>
        <v>0</v>
      </c>
      <c r="N60" s="13"/>
      <c r="O60" s="68">
        <f>ROUND(SUM(O36:O59),1)</f>
        <v>0</v>
      </c>
      <c r="P60" s="13"/>
      <c r="Q60" s="68">
        <f>ROUND(SUM(Q36:Q59),1)</f>
        <v>0</v>
      </c>
      <c r="R60" s="13"/>
      <c r="S60" s="68">
        <f>ROUND(SUM(S36:S59),1)</f>
        <v>0</v>
      </c>
      <c r="T60" s="13"/>
      <c r="U60" s="68">
        <f>ROUND(SUM(U36:U59),1)</f>
        <v>0</v>
      </c>
      <c r="V60" s="13"/>
      <c r="W60" s="68">
        <f>ROUND(SUM(W36:W59),1)</f>
        <v>0</v>
      </c>
      <c r="X60" s="13"/>
      <c r="Y60" s="68">
        <f>ROUND(SUM(Y36:Y59),1)</f>
        <v>0</v>
      </c>
      <c r="Z60" s="13"/>
      <c r="AA60" s="68">
        <f>ROUND(SUM(AA36:AA59),1)</f>
        <v>0</v>
      </c>
      <c r="AB60" s="13"/>
      <c r="AC60" s="68">
        <f>ROUND(SUM(AC36:AC59),1)</f>
        <v>0</v>
      </c>
      <c r="AD60" s="13"/>
      <c r="AE60" s="14"/>
      <c r="AF60" s="68">
        <f>ROUND(SUM(AF35:AF59),1)</f>
        <v>2537.1</v>
      </c>
      <c r="AG60" s="1234"/>
      <c r="AH60" s="13"/>
      <c r="AI60" s="68">
        <f>ROUND(SUM(AI35:AI59),1)</f>
        <v>416</v>
      </c>
      <c r="AJ60" s="18"/>
      <c r="AK60" s="97"/>
      <c r="AL60" s="68">
        <f>ROUND(SUM(AL36:AL59),1)</f>
        <v>2121.1</v>
      </c>
      <c r="AM60" s="40"/>
      <c r="AN60" s="416">
        <f>ROUND(SUM(AL60/AI60),3)</f>
        <v>5.0990000000000002</v>
      </c>
    </row>
    <row r="61" spans="1:42" ht="15.75">
      <c r="A61" s="291"/>
      <c r="B61" s="83"/>
      <c r="C61" s="291"/>
      <c r="D61" s="291"/>
      <c r="E61" s="264"/>
      <c r="F61" s="264"/>
      <c r="G61" s="264"/>
      <c r="H61" s="289"/>
      <c r="I61" s="264"/>
      <c r="J61" s="264"/>
      <c r="K61" s="264"/>
      <c r="L61" s="264"/>
      <c r="M61" s="264"/>
      <c r="N61" s="264"/>
      <c r="O61" s="264"/>
      <c r="P61" s="264"/>
      <c r="Q61" s="264"/>
      <c r="R61" s="264"/>
      <c r="S61" s="264"/>
      <c r="T61" s="264"/>
      <c r="U61" s="264"/>
      <c r="V61" s="264"/>
      <c r="W61" s="264"/>
      <c r="X61" s="264"/>
      <c r="Y61" s="264"/>
      <c r="Z61" s="264"/>
      <c r="AA61" s="264"/>
      <c r="AB61" s="264"/>
      <c r="AC61" s="264"/>
      <c r="AD61" s="264"/>
      <c r="AE61" s="523"/>
      <c r="AF61" s="289"/>
      <c r="AG61" s="1232"/>
      <c r="AH61" s="264"/>
      <c r="AI61" s="264"/>
      <c r="AJ61" s="287"/>
      <c r="AK61" s="97"/>
      <c r="AL61" s="12"/>
      <c r="AM61" s="41"/>
      <c r="AN61" s="96"/>
    </row>
    <row r="62" spans="1:42" ht="15.75">
      <c r="A62" s="291"/>
      <c r="B62" s="291" t="s">
        <v>507</v>
      </c>
      <c r="C62" s="291"/>
      <c r="D62" s="291"/>
      <c r="E62" s="289">
        <f>+'Exhibit I State'!E62+'Exhibit I Federal'!E44</f>
        <v>87.6</v>
      </c>
      <c r="F62" s="289"/>
      <c r="G62" s="289">
        <f>+'Exhibit I State'!G62+'Exhibit I Federal'!G44</f>
        <v>135.6</v>
      </c>
      <c r="H62" s="12"/>
      <c r="I62" s="289">
        <f>+'Exhibit I State'!I62+'Exhibit I Federal'!I44</f>
        <v>155.5</v>
      </c>
      <c r="J62" s="264"/>
      <c r="K62" s="289"/>
      <c r="L62" s="264"/>
      <c r="M62" s="289"/>
      <c r="N62" s="264"/>
      <c r="O62" s="289"/>
      <c r="P62" s="264"/>
      <c r="Q62" s="289"/>
      <c r="R62" s="264"/>
      <c r="S62" s="289"/>
      <c r="T62" s="289"/>
      <c r="U62" s="289"/>
      <c r="V62" s="289"/>
      <c r="W62" s="289"/>
      <c r="X62" s="289"/>
      <c r="Y62" s="289"/>
      <c r="Z62" s="289"/>
      <c r="AA62" s="289"/>
      <c r="AB62" s="289"/>
      <c r="AC62" s="289">
        <v>0</v>
      </c>
      <c r="AD62" s="264"/>
      <c r="AE62" s="523"/>
      <c r="AF62" s="264">
        <f>ROUND(SUM(E62:AC62),1)</f>
        <v>378.7</v>
      </c>
      <c r="AG62" s="1232"/>
      <c r="AH62" s="264"/>
      <c r="AI62" s="264">
        <f>+'Exhibit I State'!AG62+'Exhibit I Federal'!AG44</f>
        <v>566.5</v>
      </c>
      <c r="AJ62" s="287"/>
      <c r="AK62" s="98"/>
      <c r="AL62" s="1064">
        <f>ROUND(SUM(+AF62-AI62),1)</f>
        <v>-187.8</v>
      </c>
      <c r="AM62" s="41"/>
      <c r="AN62" s="1065">
        <f>ROUND(SUM(AL62/AI62),3)</f>
        <v>-0.33200000000000002</v>
      </c>
    </row>
    <row r="63" spans="1:42" ht="15.75">
      <c r="A63" s="291"/>
      <c r="B63" s="291"/>
      <c r="C63" s="291"/>
      <c r="D63" s="291"/>
      <c r="E63" s="615"/>
      <c r="F63" s="264"/>
      <c r="G63" s="615"/>
      <c r="H63" s="264"/>
      <c r="I63" s="615"/>
      <c r="J63" s="264"/>
      <c r="K63" s="615"/>
      <c r="L63" s="264"/>
      <c r="M63" s="615"/>
      <c r="N63" s="264"/>
      <c r="O63" s="615"/>
      <c r="P63" s="264"/>
      <c r="Q63" s="615"/>
      <c r="R63" s="264"/>
      <c r="S63" s="615"/>
      <c r="T63" s="264"/>
      <c r="U63" s="615"/>
      <c r="V63" s="264"/>
      <c r="W63" s="615"/>
      <c r="X63" s="264"/>
      <c r="Y63" s="615"/>
      <c r="Z63" s="264"/>
      <c r="AA63" s="615"/>
      <c r="AB63" s="264"/>
      <c r="AC63" s="615"/>
      <c r="AD63" s="264"/>
      <c r="AE63" s="523"/>
      <c r="AF63" s="615"/>
      <c r="AG63" s="1232"/>
      <c r="AH63" s="264"/>
      <c r="AI63" s="615"/>
      <c r="AJ63" s="264"/>
      <c r="AK63" s="98"/>
      <c r="AL63" s="12"/>
      <c r="AN63" s="96"/>
    </row>
    <row r="64" spans="1:42" ht="15.75">
      <c r="A64" s="291"/>
      <c r="B64" s="3" t="s">
        <v>563</v>
      </c>
      <c r="C64" s="291"/>
      <c r="D64" s="291"/>
      <c r="E64" s="608">
        <f>ROUND(SUM(+E60+E62+E31),1)</f>
        <v>212.8</v>
      </c>
      <c r="F64" s="13"/>
      <c r="G64" s="608">
        <f>ROUND(SUM(+G60+G62+G31),1)</f>
        <v>314.60000000000002</v>
      </c>
      <c r="H64" s="13"/>
      <c r="I64" s="608">
        <f>ROUND(SUM(+I60+I62+I31),1)</f>
        <v>2703.3</v>
      </c>
      <c r="J64" s="13"/>
      <c r="K64" s="608">
        <f>ROUND(SUM(+K60+K62+K31),1)</f>
        <v>0</v>
      </c>
      <c r="L64" s="13"/>
      <c r="M64" s="608">
        <f>ROUND(SUM(+M60+M62+M31),1)</f>
        <v>0</v>
      </c>
      <c r="N64" s="13"/>
      <c r="O64" s="608">
        <f>ROUND(SUM(+O60+O62+O31),1)</f>
        <v>0</v>
      </c>
      <c r="P64" s="13"/>
      <c r="Q64" s="608">
        <f>ROUND(SUM(+Q60+Q62+Q31),1)</f>
        <v>0</v>
      </c>
      <c r="R64" s="13"/>
      <c r="S64" s="1061">
        <f>ROUND(SUM(+S60+S62+S31),1)</f>
        <v>0</v>
      </c>
      <c r="T64" s="13"/>
      <c r="U64" s="1061">
        <f>ROUND(SUM(+U60+U62+U31),1)</f>
        <v>0</v>
      </c>
      <c r="V64" s="13"/>
      <c r="W64" s="1061">
        <f>ROUND(SUM(+W60+W62+W31),1)</f>
        <v>0</v>
      </c>
      <c r="X64" s="13"/>
      <c r="Y64" s="1061">
        <f>ROUND(SUM(+Y60+Y62+Y31),1)</f>
        <v>0</v>
      </c>
      <c r="Z64" s="13"/>
      <c r="AA64" s="1061">
        <f>ROUND(SUM(+AA60+AA62+AA31),1)</f>
        <v>0</v>
      </c>
      <c r="AB64" s="413"/>
      <c r="AC64" s="1061">
        <f>ROUND(SUM(+AC60+AC62+AC31),1)</f>
        <v>0</v>
      </c>
      <c r="AD64" s="13"/>
      <c r="AE64" s="14"/>
      <c r="AF64" s="1061">
        <f>ROUND(SUM(+AF60+AF62+AF31),1)</f>
        <v>3230.7</v>
      </c>
      <c r="AG64" s="1234"/>
      <c r="AH64" s="13"/>
      <c r="AI64" s="1061">
        <f>ROUND(SUM(+AI60+AI62+AI31),1)</f>
        <v>1314.8</v>
      </c>
      <c r="AJ64" s="18"/>
      <c r="AK64" s="98"/>
      <c r="AL64" s="1061">
        <f>ROUND(SUM(+AL60+AL62+AL31),1)</f>
        <v>1915.9</v>
      </c>
      <c r="AM64" s="40"/>
      <c r="AN64" s="368">
        <f>ROUND(SUM(AL64/AI64),3)</f>
        <v>1.4570000000000001</v>
      </c>
      <c r="AO64" s="3"/>
      <c r="AP64" s="40"/>
    </row>
    <row r="65" spans="1:42" ht="15.75">
      <c r="A65" s="291"/>
      <c r="B65" s="291"/>
      <c r="C65" s="291"/>
      <c r="D65" s="291"/>
      <c r="E65" s="615"/>
      <c r="F65" s="264"/>
      <c r="G65" s="615"/>
      <c r="H65" s="264"/>
      <c r="I65" s="615"/>
      <c r="J65" s="264"/>
      <c r="K65" s="615"/>
      <c r="L65" s="264"/>
      <c r="M65" s="615"/>
      <c r="N65" s="264"/>
      <c r="O65" s="615"/>
      <c r="P65" s="264"/>
      <c r="Q65" s="615"/>
      <c r="R65" s="264"/>
      <c r="S65" s="615"/>
      <c r="T65" s="264"/>
      <c r="U65" s="615"/>
      <c r="V65" s="264"/>
      <c r="W65" s="615"/>
      <c r="X65" s="264"/>
      <c r="Y65" s="615"/>
      <c r="Z65" s="264"/>
      <c r="AA65" s="615"/>
      <c r="AB65" s="264"/>
      <c r="AC65" s="615"/>
      <c r="AD65" s="264"/>
      <c r="AE65" s="523"/>
      <c r="AF65" s="615"/>
      <c r="AG65" s="1232"/>
      <c r="AH65" s="264"/>
      <c r="AI65" s="615"/>
      <c r="AJ65" s="264"/>
      <c r="AK65" s="98"/>
      <c r="AL65" s="12"/>
      <c r="AN65" s="96"/>
    </row>
    <row r="66" spans="1:42" ht="15.75">
      <c r="A66" s="291"/>
      <c r="B66" s="3" t="s">
        <v>122</v>
      </c>
      <c r="C66" s="291"/>
      <c r="D66" s="291"/>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523"/>
      <c r="AF66" s="264"/>
      <c r="AG66" s="1232"/>
      <c r="AH66" s="264"/>
      <c r="AI66" s="264"/>
      <c r="AJ66" s="264"/>
      <c r="AK66" s="98"/>
      <c r="AL66" s="12"/>
      <c r="AN66" s="96"/>
    </row>
    <row r="67" spans="1:42" ht="15.75">
      <c r="A67" s="291"/>
      <c r="B67" s="291" t="s">
        <v>451</v>
      </c>
      <c r="C67" s="291"/>
      <c r="D67" s="291"/>
      <c r="E67" s="264"/>
      <c r="F67" s="264"/>
      <c r="G67" s="264"/>
      <c r="H67" s="264"/>
      <c r="I67" s="264"/>
      <c r="J67" s="264"/>
      <c r="K67" s="264"/>
      <c r="L67" s="264"/>
      <c r="M67" s="264"/>
      <c r="N67" s="264"/>
      <c r="O67" s="264"/>
      <c r="P67" s="264"/>
      <c r="Q67" s="264"/>
      <c r="R67" s="264"/>
      <c r="S67" s="264"/>
      <c r="T67" s="264"/>
      <c r="U67" s="264"/>
      <c r="V67" s="264"/>
      <c r="W67" s="264"/>
      <c r="X67" s="264"/>
      <c r="Y67" s="264"/>
      <c r="Z67" s="264"/>
      <c r="AA67" s="264" t="s">
        <v>103</v>
      </c>
      <c r="AB67" s="264"/>
      <c r="AC67" s="264"/>
      <c r="AD67" s="264"/>
      <c r="AE67" s="523"/>
      <c r="AF67" s="287"/>
      <c r="AG67" s="1232"/>
      <c r="AH67" s="264"/>
      <c r="AI67" s="264"/>
      <c r="AJ67" s="264"/>
      <c r="AK67" s="98"/>
      <c r="AL67" s="12"/>
      <c r="AN67" s="96"/>
    </row>
    <row r="68" spans="1:42" ht="15.75">
      <c r="A68" s="291"/>
      <c r="B68" s="291" t="s">
        <v>124</v>
      </c>
      <c r="C68" s="291"/>
      <c r="D68" s="291"/>
      <c r="E68" s="289">
        <f>+'Exhibit I State'!E68+'Exhibit I Federal'!E50</f>
        <v>36.1</v>
      </c>
      <c r="F68" s="289"/>
      <c r="G68" s="289">
        <f>+'Exhibit I State'!G68+'Exhibit I Federal'!G50</f>
        <v>4.6999999999999957</v>
      </c>
      <c r="H68" s="289"/>
      <c r="I68" s="289">
        <f>+'Exhibit I State'!I68+'Exhibit I Federal'!I50</f>
        <v>14.300000000000004</v>
      </c>
      <c r="J68" s="264"/>
      <c r="K68" s="289"/>
      <c r="L68" s="264"/>
      <c r="M68" s="289"/>
      <c r="N68" s="264"/>
      <c r="O68" s="289"/>
      <c r="P68" s="264"/>
      <c r="Q68" s="289"/>
      <c r="R68" s="264"/>
      <c r="S68" s="289"/>
      <c r="T68" s="289"/>
      <c r="U68" s="289"/>
      <c r="V68" s="289"/>
      <c r="W68" s="289"/>
      <c r="X68" s="289"/>
      <c r="Y68" s="289"/>
      <c r="Z68" s="289"/>
      <c r="AA68" s="289"/>
      <c r="AB68" s="289"/>
      <c r="AC68" s="289">
        <v>0</v>
      </c>
      <c r="AD68" s="264"/>
      <c r="AE68" s="523"/>
      <c r="AF68" s="264">
        <f>ROUND(SUM(E68:AC68),1)</f>
        <v>55.1</v>
      </c>
      <c r="AG68" s="1232"/>
      <c r="AH68" s="264"/>
      <c r="AI68" s="264">
        <f>+'Exhibit I State'!AG68+'Exhibit I Federal'!AG50</f>
        <v>25.1</v>
      </c>
      <c r="AJ68" s="287"/>
      <c r="AK68" s="97"/>
      <c r="AL68" s="12">
        <f>ROUND(SUM(+AF68-AI68),1)</f>
        <v>30</v>
      </c>
      <c r="AM68" s="41"/>
      <c r="AN68" s="547">
        <f>ROUND(IF(AI68=0,1,AL68/ABS(AI68)),3)</f>
        <v>1.1950000000000001</v>
      </c>
    </row>
    <row r="69" spans="1:42" ht="15.75">
      <c r="A69" s="291"/>
      <c r="B69" s="291" t="s">
        <v>125</v>
      </c>
      <c r="C69" s="291"/>
      <c r="D69" s="291"/>
      <c r="E69" s="289">
        <f>+'Exhibit I State'!E69+'Exhibit I Federal'!E51</f>
        <v>11.6</v>
      </c>
      <c r="F69" s="289"/>
      <c r="G69" s="289">
        <f>+'Exhibit I State'!G69+'Exhibit I Federal'!G51</f>
        <v>25.300000000000004</v>
      </c>
      <c r="H69" s="289"/>
      <c r="I69" s="289">
        <f>+'Exhibit I State'!I69+'Exhibit I Federal'!I51</f>
        <v>35.799999999999997</v>
      </c>
      <c r="J69" s="264"/>
      <c r="K69" s="289"/>
      <c r="L69" s="264"/>
      <c r="M69" s="289"/>
      <c r="N69" s="264"/>
      <c r="O69" s="289"/>
      <c r="P69" s="264"/>
      <c r="Q69" s="289"/>
      <c r="R69" s="264"/>
      <c r="S69" s="289"/>
      <c r="T69" s="289"/>
      <c r="U69" s="289"/>
      <c r="V69" s="289"/>
      <c r="W69" s="289"/>
      <c r="X69" s="289"/>
      <c r="Y69" s="289"/>
      <c r="Z69" s="289"/>
      <c r="AA69" s="289"/>
      <c r="AB69" s="289"/>
      <c r="AC69" s="289">
        <v>0</v>
      </c>
      <c r="AD69" s="264"/>
      <c r="AE69" s="523"/>
      <c r="AF69" s="264">
        <f>ROUND(SUM(E69:AC69),1)</f>
        <v>72.7</v>
      </c>
      <c r="AG69" s="1232"/>
      <c r="AH69" s="264"/>
      <c r="AI69" s="264">
        <f>+'Exhibit I State'!AG69+'Exhibit I Federal'!AG51</f>
        <v>36.200000000000003</v>
      </c>
      <c r="AJ69" s="287"/>
      <c r="AK69" s="97"/>
      <c r="AL69" s="12">
        <f t="shared" ref="AL69:AL75" si="4">ROUND(SUM(+AF69-AI69),1)</f>
        <v>36.5</v>
      </c>
      <c r="AM69" s="41"/>
      <c r="AN69" s="542">
        <f>ROUND(IF(AI69=0,0,AL69/ABS(AI69)),3)</f>
        <v>1.008</v>
      </c>
    </row>
    <row r="70" spans="1:42" ht="15.75">
      <c r="A70" s="291"/>
      <c r="B70" s="291" t="s">
        <v>126</v>
      </c>
      <c r="C70" s="291"/>
      <c r="D70" s="291"/>
      <c r="E70" s="289">
        <f>+'Exhibit I State'!E70+'Exhibit I Federal'!E52</f>
        <v>35.9</v>
      </c>
      <c r="F70" s="289"/>
      <c r="G70" s="289">
        <f>+'Exhibit I State'!G70+'Exhibit I Federal'!G52</f>
        <v>22.200000000000003</v>
      </c>
      <c r="H70" s="289"/>
      <c r="I70" s="289">
        <f>+'Exhibit I State'!I70+'Exhibit I Federal'!I52</f>
        <v>53.9</v>
      </c>
      <c r="J70" s="264"/>
      <c r="K70" s="289"/>
      <c r="L70" s="264"/>
      <c r="M70" s="289"/>
      <c r="N70" s="264"/>
      <c r="O70" s="289"/>
      <c r="P70" s="264"/>
      <c r="Q70" s="289"/>
      <c r="R70" s="264"/>
      <c r="S70" s="289"/>
      <c r="T70" s="289"/>
      <c r="U70" s="289"/>
      <c r="V70" s="289"/>
      <c r="W70" s="289"/>
      <c r="X70" s="289"/>
      <c r="Y70" s="289"/>
      <c r="Z70" s="289"/>
      <c r="AA70" s="289"/>
      <c r="AB70" s="289" t="s">
        <v>230</v>
      </c>
      <c r="AC70" s="289">
        <v>0</v>
      </c>
      <c r="AD70" s="264"/>
      <c r="AE70" s="523"/>
      <c r="AF70" s="264">
        <f>ROUND(SUM(E70:AC70),1)</f>
        <v>112</v>
      </c>
      <c r="AG70" s="1232"/>
      <c r="AH70" s="264"/>
      <c r="AI70" s="264">
        <f>+'Exhibit I State'!AG70+'Exhibit I Federal'!AG52</f>
        <v>125.2</v>
      </c>
      <c r="AJ70" s="287"/>
      <c r="AK70" s="97"/>
      <c r="AL70" s="12">
        <f t="shared" si="4"/>
        <v>-13.2</v>
      </c>
      <c r="AM70" s="41"/>
      <c r="AN70" s="266">
        <f>ROUND(IF(AI70=0,0,AL70/ABS(AI70)),3)</f>
        <v>-0.105</v>
      </c>
    </row>
    <row r="71" spans="1:42" ht="15.75">
      <c r="A71" s="291"/>
      <c r="B71" s="291" t="s">
        <v>127</v>
      </c>
      <c r="C71" s="291"/>
      <c r="D71" s="291"/>
      <c r="E71" s="289"/>
      <c r="F71" s="289"/>
      <c r="G71" s="289"/>
      <c r="H71" s="289"/>
      <c r="I71" s="289"/>
      <c r="J71" s="264"/>
      <c r="K71" s="289"/>
      <c r="L71" s="264"/>
      <c r="M71" s="289"/>
      <c r="N71" s="264"/>
      <c r="O71" s="289"/>
      <c r="P71" s="264"/>
      <c r="Q71" s="289"/>
      <c r="R71" s="264"/>
      <c r="S71" s="289"/>
      <c r="T71" s="289"/>
      <c r="U71" s="289"/>
      <c r="V71" s="289"/>
      <c r="W71" s="289"/>
      <c r="X71" s="289"/>
      <c r="Y71" s="289"/>
      <c r="Z71" s="289"/>
      <c r="AA71" s="289"/>
      <c r="AB71" s="289"/>
      <c r="AC71" s="289"/>
      <c r="AD71" s="264"/>
      <c r="AE71" s="523"/>
      <c r="AF71" s="264" t="s">
        <v>103</v>
      </c>
      <c r="AG71" s="1232"/>
      <c r="AH71" s="264"/>
      <c r="AI71" s="367"/>
      <c r="AJ71" s="264"/>
      <c r="AK71" s="98"/>
      <c r="AL71" s="12" t="s">
        <v>103</v>
      </c>
      <c r="AM71" s="41"/>
      <c r="AN71" s="99" t="s">
        <v>103</v>
      </c>
    </row>
    <row r="72" spans="1:42" ht="15.75">
      <c r="A72" s="291"/>
      <c r="B72" s="291" t="s">
        <v>129</v>
      </c>
      <c r="C72" s="291"/>
      <c r="D72" s="291"/>
      <c r="E72" s="289">
        <f>+'Exhibit I State'!E72+'Exhibit I Federal'!E54</f>
        <v>22.2</v>
      </c>
      <c r="F72" s="289"/>
      <c r="G72" s="289">
        <f>+'Exhibit I State'!G72+'Exhibit I Federal'!G54</f>
        <v>22.599999999999998</v>
      </c>
      <c r="H72" s="289"/>
      <c r="I72" s="289">
        <f>+'Exhibit I State'!I72+'Exhibit I Federal'!I54</f>
        <v>107.40000000000002</v>
      </c>
      <c r="J72" s="264"/>
      <c r="K72" s="289"/>
      <c r="L72" s="264"/>
      <c r="M72" s="289"/>
      <c r="N72" s="264"/>
      <c r="O72" s="289"/>
      <c r="P72" s="264"/>
      <c r="Q72" s="289"/>
      <c r="R72" s="264"/>
      <c r="S72" s="289"/>
      <c r="T72" s="289"/>
      <c r="U72" s="289"/>
      <c r="V72" s="289"/>
      <c r="W72" s="289"/>
      <c r="X72" s="289"/>
      <c r="Y72" s="289"/>
      <c r="Z72" s="289"/>
      <c r="AA72" s="289"/>
      <c r="AB72" s="289"/>
      <c r="AC72" s="289">
        <v>0</v>
      </c>
      <c r="AD72" s="264"/>
      <c r="AE72" s="523"/>
      <c r="AF72" s="264">
        <f t="shared" ref="AF72:AF74" si="5">ROUND(SUM(E72:AC72),1)</f>
        <v>152.19999999999999</v>
      </c>
      <c r="AG72" s="1232"/>
      <c r="AH72" s="264"/>
      <c r="AI72" s="367">
        <f>+'Exhibit I State'!AG72+'Exhibit I Federal'!AG54</f>
        <v>110.9</v>
      </c>
      <c r="AJ72" s="287"/>
      <c r="AK72" s="97"/>
      <c r="AL72" s="12">
        <f t="shared" si="4"/>
        <v>41.3</v>
      </c>
      <c r="AM72" s="41"/>
      <c r="AN72" s="374">
        <f>ROUND(IF(AI72=0,0,AL72/ABS(AI72)),3)</f>
        <v>0.372</v>
      </c>
    </row>
    <row r="73" spans="1:42" ht="15.75">
      <c r="A73" s="291"/>
      <c r="B73" s="291" t="s">
        <v>130</v>
      </c>
      <c r="C73" s="291"/>
      <c r="D73" s="291"/>
      <c r="E73" s="289">
        <f>+'Exhibit I State'!E73+'Exhibit I Federal'!E55</f>
        <v>3.2</v>
      </c>
      <c r="F73" s="289"/>
      <c r="G73" s="289">
        <f>+'Exhibit I State'!G73+'Exhibit I Federal'!G55</f>
        <v>7.4999999999999991</v>
      </c>
      <c r="H73" s="289"/>
      <c r="I73" s="289">
        <f>+'Exhibit I State'!I73+'Exhibit I Federal'!I55</f>
        <v>7.9999999999999991</v>
      </c>
      <c r="J73" s="264"/>
      <c r="K73" s="289"/>
      <c r="L73" s="264"/>
      <c r="M73" s="289"/>
      <c r="N73" s="264"/>
      <c r="O73" s="289"/>
      <c r="P73" s="264"/>
      <c r="Q73" s="289"/>
      <c r="R73" s="264"/>
      <c r="S73" s="289"/>
      <c r="T73" s="289"/>
      <c r="U73" s="289"/>
      <c r="V73" s="289"/>
      <c r="W73" s="289"/>
      <c r="X73" s="289"/>
      <c r="Y73" s="289"/>
      <c r="Z73" s="289"/>
      <c r="AA73" s="289"/>
      <c r="AB73" s="289"/>
      <c r="AC73" s="289">
        <v>0</v>
      </c>
      <c r="AD73" s="264"/>
      <c r="AE73" s="523"/>
      <c r="AF73" s="264">
        <f>ROUND(SUM(E73:AC73),1)</f>
        <v>18.7</v>
      </c>
      <c r="AG73" s="1232"/>
      <c r="AH73" s="264"/>
      <c r="AI73" s="367">
        <f>+'Exhibit I State'!AG73+'Exhibit I Federal'!AG55</f>
        <v>5.8</v>
      </c>
      <c r="AJ73" s="287"/>
      <c r="AK73" s="97"/>
      <c r="AL73" s="12">
        <f t="shared" si="4"/>
        <v>12.9</v>
      </c>
      <c r="AM73" s="41"/>
      <c r="AN73" s="542">
        <f>ROUND(IF(AI73=0,1,AL73/ABS(AI73)),3)</f>
        <v>2.2240000000000002</v>
      </c>
    </row>
    <row r="74" spans="1:42" ht="15.75">
      <c r="A74" s="291"/>
      <c r="B74" s="291" t="s">
        <v>131</v>
      </c>
      <c r="C74" s="291"/>
      <c r="D74" s="291"/>
      <c r="E74" s="289">
        <f>+'Exhibit I State'!E74+'Exhibit I Federal'!E56</f>
        <v>91.6</v>
      </c>
      <c r="F74" s="289"/>
      <c r="G74" s="289">
        <f>+'Exhibit I State'!G74+'Exhibit I Federal'!G56</f>
        <v>139.5</v>
      </c>
      <c r="H74" s="289"/>
      <c r="I74" s="289">
        <f>+'Exhibit I State'!I74+'Exhibit I Federal'!I56</f>
        <v>124.20000000000002</v>
      </c>
      <c r="J74" s="264"/>
      <c r="K74" s="289"/>
      <c r="L74" s="264"/>
      <c r="M74" s="289"/>
      <c r="N74" s="264"/>
      <c r="O74" s="289"/>
      <c r="P74" s="264"/>
      <c r="Q74" s="289"/>
      <c r="R74" s="264"/>
      <c r="S74" s="289"/>
      <c r="T74" s="289"/>
      <c r="U74" s="289"/>
      <c r="V74" s="289"/>
      <c r="W74" s="289"/>
      <c r="X74" s="289"/>
      <c r="Y74" s="289"/>
      <c r="Z74" s="289"/>
      <c r="AA74" s="289"/>
      <c r="AB74" s="289"/>
      <c r="AC74" s="289">
        <v>0</v>
      </c>
      <c r="AD74" s="264"/>
      <c r="AE74" s="523"/>
      <c r="AF74" s="264">
        <f t="shared" si="5"/>
        <v>355.3</v>
      </c>
      <c r="AG74" s="1232"/>
      <c r="AH74" s="264"/>
      <c r="AI74" s="367">
        <f>+'Exhibit I State'!AG74+'Exhibit I Federal'!AG56</f>
        <v>429.4</v>
      </c>
      <c r="AJ74" s="264"/>
      <c r="AK74" s="98"/>
      <c r="AL74" s="12">
        <f t="shared" si="4"/>
        <v>-74.099999999999994</v>
      </c>
      <c r="AM74" s="41"/>
      <c r="AN74" s="561">
        <f>ROUND(IF(AI74=0,1,AL74/ABS(AI74)),3)</f>
        <v>-0.17299999999999999</v>
      </c>
    </row>
    <row r="75" spans="1:42" ht="15.75">
      <c r="A75" s="291"/>
      <c r="B75" s="291" t="s">
        <v>132</v>
      </c>
      <c r="C75" s="3"/>
      <c r="D75" s="291"/>
      <c r="E75" s="289">
        <f>+'Exhibit I State'!E75+'Exhibit I Federal'!E57</f>
        <v>98.2</v>
      </c>
      <c r="F75" s="289"/>
      <c r="G75" s="289">
        <f>+'Exhibit I State'!G75+'Exhibit I Federal'!G57</f>
        <v>15.899999999999999</v>
      </c>
      <c r="H75" s="289"/>
      <c r="I75" s="289">
        <f>+'Exhibit I State'!I75+'Exhibit I Federal'!I57</f>
        <v>175.7</v>
      </c>
      <c r="J75" s="264"/>
      <c r="K75" s="289"/>
      <c r="L75" s="264"/>
      <c r="M75" s="289"/>
      <c r="N75" s="264"/>
      <c r="O75" s="289"/>
      <c r="P75" s="264"/>
      <c r="Q75" s="289"/>
      <c r="R75" s="264"/>
      <c r="S75" s="289"/>
      <c r="T75" s="289"/>
      <c r="U75" s="289"/>
      <c r="V75" s="289"/>
      <c r="W75" s="289"/>
      <c r="X75" s="289"/>
      <c r="Y75" s="289"/>
      <c r="Z75" s="289"/>
      <c r="AA75" s="289"/>
      <c r="AB75" s="289"/>
      <c r="AC75" s="289">
        <v>0</v>
      </c>
      <c r="AD75" s="264"/>
      <c r="AE75" s="523"/>
      <c r="AF75" s="264">
        <f>ROUND(SUM(E75:AC75),1)</f>
        <v>289.8</v>
      </c>
      <c r="AG75" s="1232"/>
      <c r="AH75" s="264"/>
      <c r="AI75" s="367">
        <f>+'Exhibit I State'!AG75+'Exhibit I Federal'!AG57</f>
        <v>203.9</v>
      </c>
      <c r="AJ75" s="264"/>
      <c r="AK75" s="98"/>
      <c r="AL75" s="12">
        <f t="shared" si="4"/>
        <v>85.9</v>
      </c>
      <c r="AM75" s="41"/>
      <c r="AN75" s="561">
        <f>ROUND(IF(AI75=0,0,AL75/ABS(AI75)),3)</f>
        <v>0.42099999999999999</v>
      </c>
    </row>
    <row r="76" spans="1:42" ht="15.75">
      <c r="A76" s="291"/>
      <c r="B76" s="291" t="s">
        <v>133</v>
      </c>
      <c r="C76" s="291"/>
      <c r="D76" s="291"/>
      <c r="E76" s="289">
        <f>+'Exhibit I State'!E76+'Exhibit I Federal'!E58</f>
        <v>61.900000000000006</v>
      </c>
      <c r="F76" s="289"/>
      <c r="G76" s="289">
        <f>+'Exhibit I State'!G76+'Exhibit I Federal'!G58</f>
        <v>52.300000000000011</v>
      </c>
      <c r="H76" s="289"/>
      <c r="I76" s="289">
        <f>+'Exhibit I State'!I76+'Exhibit I Federal'!I58</f>
        <v>178.69999999999996</v>
      </c>
      <c r="J76" s="264"/>
      <c r="K76" s="289"/>
      <c r="L76" s="264"/>
      <c r="M76" s="289"/>
      <c r="N76" s="264"/>
      <c r="O76" s="289"/>
      <c r="P76" s="264"/>
      <c r="Q76" s="289"/>
      <c r="R76" s="264"/>
      <c r="S76" s="289"/>
      <c r="T76" s="289"/>
      <c r="U76" s="289"/>
      <c r="V76" s="289"/>
      <c r="W76" s="289"/>
      <c r="X76" s="289"/>
      <c r="Y76" s="289"/>
      <c r="Z76" s="289"/>
      <c r="AA76" s="289"/>
      <c r="AB76" s="289"/>
      <c r="AC76" s="289">
        <v>0</v>
      </c>
      <c r="AD76" s="264"/>
      <c r="AE76" s="523"/>
      <c r="AF76" s="264">
        <f>ROUND(SUM(E76:AC76),1)</f>
        <v>292.89999999999998</v>
      </c>
      <c r="AG76" s="1232"/>
      <c r="AH76" s="264"/>
      <c r="AI76" s="367">
        <f>+'Exhibit I State'!AG76+'Exhibit I Federal'!AG58</f>
        <v>214.5</v>
      </c>
      <c r="AJ76" s="264"/>
      <c r="AK76" s="98"/>
      <c r="AL76" s="12">
        <f>ROUND(SUM(+AF76-AI76),1)</f>
        <v>78.400000000000006</v>
      </c>
      <c r="AN76" s="863">
        <f>ROUND(IF(AI76=0,0,AL76/ABS(AI76)),3)</f>
        <v>0.36599999999999999</v>
      </c>
    </row>
    <row r="77" spans="1:42" ht="15.75">
      <c r="A77" s="291"/>
      <c r="B77" s="3" t="s">
        <v>564</v>
      </c>
      <c r="C77" s="291"/>
      <c r="D77" s="291"/>
      <c r="E77" s="616">
        <f>ROUND(SUM(E68:E76),1)</f>
        <v>360.7</v>
      </c>
      <c r="F77" s="13"/>
      <c r="G77" s="616">
        <f>ROUND(SUM(G68:G76),1)</f>
        <v>290</v>
      </c>
      <c r="H77" s="13"/>
      <c r="I77" s="616">
        <f>ROUND(SUM(I68:I76),1)</f>
        <v>698</v>
      </c>
      <c r="J77" s="13"/>
      <c r="K77" s="616">
        <f>ROUND(SUM(K68:K76),1)</f>
        <v>0</v>
      </c>
      <c r="L77" s="13"/>
      <c r="M77" s="616">
        <f>ROUND(SUM(M68:M76),1)</f>
        <v>0</v>
      </c>
      <c r="N77" s="13"/>
      <c r="O77" s="616">
        <f>ROUND(SUM(O68:O76),1)</f>
        <v>0</v>
      </c>
      <c r="P77" s="13"/>
      <c r="Q77" s="616">
        <f>ROUND(SUM(Q68:Q76),1)</f>
        <v>0</v>
      </c>
      <c r="R77" s="13"/>
      <c r="S77" s="616">
        <f>ROUND(SUM(S68:S76),1)</f>
        <v>0</v>
      </c>
      <c r="T77" s="13"/>
      <c r="U77" s="616">
        <f>ROUND(SUM(U68:U76),1)</f>
        <v>0</v>
      </c>
      <c r="V77" s="13"/>
      <c r="W77" s="616">
        <f>ROUND(SUM(W68:W76),1)</f>
        <v>0</v>
      </c>
      <c r="X77" s="13"/>
      <c r="Y77" s="616">
        <f>ROUND(SUM(Y68:Y76),1)</f>
        <v>0</v>
      </c>
      <c r="Z77" s="13"/>
      <c r="AA77" s="616">
        <f>ROUND(SUM(AA68:AA76),1)</f>
        <v>0</v>
      </c>
      <c r="AB77" s="13"/>
      <c r="AC77" s="616">
        <f>ROUND(SUM(AC68:AC76),1)</f>
        <v>0</v>
      </c>
      <c r="AD77" s="13"/>
      <c r="AE77" s="14"/>
      <c r="AF77" s="616">
        <f>ROUND(SUM(AF68:AF76),1)</f>
        <v>1348.7</v>
      </c>
      <c r="AG77" s="1234"/>
      <c r="AH77" s="13"/>
      <c r="AI77" s="616">
        <f>ROUND(SUM(AI68:AI76),1)</f>
        <v>1151</v>
      </c>
      <c r="AJ77" s="13"/>
      <c r="AK77" s="98"/>
      <c r="AL77" s="616">
        <f>ROUND(SUM(AL68:AL76),1)</f>
        <v>197.7</v>
      </c>
      <c r="AM77" s="3"/>
      <c r="AN77" s="368">
        <f>ROUND(SUM(AL77/AI77),3)</f>
        <v>0.17199999999999999</v>
      </c>
      <c r="AO77" s="3"/>
      <c r="AP77" s="40"/>
    </row>
    <row r="78" spans="1:42" ht="15.75">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523"/>
      <c r="AF78" s="264"/>
      <c r="AG78" s="1232"/>
      <c r="AH78" s="264"/>
      <c r="AI78" s="264"/>
      <c r="AJ78" s="264"/>
      <c r="AK78" s="98"/>
      <c r="AL78" s="12"/>
      <c r="AN78" s="96"/>
    </row>
    <row r="79" spans="1:42" ht="15.75">
      <c r="A79" s="291"/>
      <c r="B79" s="291" t="s">
        <v>566</v>
      </c>
      <c r="C79" s="291"/>
      <c r="D79" s="291"/>
      <c r="E79" s="289">
        <f>+'Exhibit I State'!E79+'Exhibit I Federal'!E61</f>
        <v>0</v>
      </c>
      <c r="F79" s="289"/>
      <c r="G79" s="289">
        <f>+'Exhibit I State'!G79+'Exhibit I Federal'!G61</f>
        <v>0</v>
      </c>
      <c r="H79" s="289"/>
      <c r="I79" s="289">
        <f>+'Exhibit I State'!I79+'Exhibit I Federal'!I61</f>
        <v>0</v>
      </c>
      <c r="J79" s="264"/>
      <c r="K79" s="289"/>
      <c r="L79" s="264"/>
      <c r="M79" s="289"/>
      <c r="N79" s="264"/>
      <c r="O79" s="289"/>
      <c r="P79" s="264"/>
      <c r="Q79" s="289"/>
      <c r="R79" s="264"/>
      <c r="S79" s="289"/>
      <c r="T79" s="289"/>
      <c r="U79" s="289"/>
      <c r="V79" s="289"/>
      <c r="W79" s="289"/>
      <c r="X79" s="289"/>
      <c r="Y79" s="289"/>
      <c r="Z79" s="289"/>
      <c r="AA79" s="289"/>
      <c r="AB79" s="289"/>
      <c r="AC79" s="289">
        <v>0</v>
      </c>
      <c r="AD79" s="264"/>
      <c r="AE79" s="523"/>
      <c r="AF79" s="287">
        <f>ROUND(SUM(E79:AC79),1)</f>
        <v>0</v>
      </c>
      <c r="AG79" s="1232"/>
      <c r="AH79" s="264"/>
      <c r="AI79" s="275">
        <f>+'Exhibit I State'!AG79+'Exhibit I Federal'!AG61</f>
        <v>0</v>
      </c>
      <c r="AJ79" s="367"/>
      <c r="AK79" s="100"/>
      <c r="AL79" s="264">
        <f>ROUND(SUM(+AF79-AI79),1)</f>
        <v>0</v>
      </c>
      <c r="AN79" s="374">
        <f>ROUND(IF(AI79=0,0,AL79/ABS(AI79)),3)</f>
        <v>0</v>
      </c>
    </row>
    <row r="80" spans="1:42" ht="15.75">
      <c r="A80" s="291"/>
      <c r="B80" s="291" t="s">
        <v>567</v>
      </c>
      <c r="C80" s="291"/>
      <c r="D80" s="291"/>
      <c r="E80" s="289">
        <f>+'Exhibit I State'!E80+'Exhibit I Federal'!E62</f>
        <v>0</v>
      </c>
      <c r="F80" s="289"/>
      <c r="G80" s="289">
        <f>+'Exhibit I State'!G80+'Exhibit I Federal'!G62</f>
        <v>0</v>
      </c>
      <c r="H80" s="289"/>
      <c r="I80" s="289">
        <f>+'Exhibit I State'!I80+'Exhibit I Federal'!I62</f>
        <v>0</v>
      </c>
      <c r="J80" s="264"/>
      <c r="K80" s="289"/>
      <c r="L80" s="264"/>
      <c r="M80" s="289"/>
      <c r="N80" s="264"/>
      <c r="O80" s="289"/>
      <c r="P80" s="264"/>
      <c r="Q80" s="289"/>
      <c r="R80" s="264"/>
      <c r="S80" s="289"/>
      <c r="T80" s="289"/>
      <c r="U80" s="289"/>
      <c r="V80" s="289"/>
      <c r="W80" s="289"/>
      <c r="X80" s="289"/>
      <c r="Y80" s="289"/>
      <c r="Z80" s="289"/>
      <c r="AA80" s="289"/>
      <c r="AB80" s="289"/>
      <c r="AC80" s="289">
        <v>0</v>
      </c>
      <c r="AD80" s="264"/>
      <c r="AE80" s="523"/>
      <c r="AF80" s="1926">
        <f>ROUND(SUM(E80:AC80),1)</f>
        <v>0</v>
      </c>
      <c r="AG80" s="1232"/>
      <c r="AH80" s="264"/>
      <c r="AI80" s="275">
        <f>+'Exhibit I State'!AG80+'Exhibit I Federal'!AG62</f>
        <v>0</v>
      </c>
      <c r="AJ80" s="367"/>
      <c r="AK80" s="100"/>
      <c r="AL80" s="264">
        <f>ROUND(SUM(+AF80-AI80),1)</f>
        <v>0</v>
      </c>
      <c r="AN80" s="374">
        <f>ROUND(IF(AI80=0,0,AL80/ABS(AI80)),3)</f>
        <v>0</v>
      </c>
    </row>
    <row r="81" spans="1:42" ht="15.75">
      <c r="A81" s="291"/>
      <c r="B81" s="291" t="s">
        <v>568</v>
      </c>
      <c r="C81" s="291"/>
      <c r="D81" s="291"/>
      <c r="E81" s="289">
        <f>+'Exhibit I State'!E81+'Exhibit I Federal'!E63</f>
        <v>0</v>
      </c>
      <c r="F81" s="289"/>
      <c r="G81" s="289">
        <f>+'Exhibit I State'!G81+'Exhibit I Federal'!G63</f>
        <v>0</v>
      </c>
      <c r="H81" s="289"/>
      <c r="I81" s="289">
        <f>+'Exhibit I State'!I81+'Exhibit I Federal'!I63</f>
        <v>0</v>
      </c>
      <c r="J81" s="264"/>
      <c r="K81" s="289"/>
      <c r="L81" s="264"/>
      <c r="M81" s="289"/>
      <c r="N81" s="264"/>
      <c r="O81" s="289"/>
      <c r="P81" s="264"/>
      <c r="Q81" s="289"/>
      <c r="R81" s="264"/>
      <c r="S81" s="289"/>
      <c r="T81" s="289"/>
      <c r="U81" s="289"/>
      <c r="V81" s="289"/>
      <c r="W81" s="289"/>
      <c r="X81" s="289"/>
      <c r="Y81" s="289"/>
      <c r="Z81" s="289"/>
      <c r="AA81" s="289"/>
      <c r="AB81" s="289"/>
      <c r="AC81" s="289">
        <v>0</v>
      </c>
      <c r="AD81" s="1066"/>
      <c r="AE81" s="1067"/>
      <c r="AF81" s="287">
        <f>ROUND(SUM(E81:AC81),1)</f>
        <v>0</v>
      </c>
      <c r="AG81" s="1232"/>
      <c r="AH81" s="264"/>
      <c r="AI81" s="275">
        <f>+'Exhibit I State'!AG81+'Exhibit I Federal'!AG63</f>
        <v>0</v>
      </c>
      <c r="AJ81" s="367"/>
      <c r="AK81" s="100"/>
      <c r="AL81" s="264">
        <f>ROUND(SUM(+AF81-AI81),1)</f>
        <v>0</v>
      </c>
      <c r="AN81" s="374">
        <f>ROUND(IF(AI81=0,0,AL81/ABS(AI81)),3)</f>
        <v>0</v>
      </c>
    </row>
    <row r="82" spans="1:42" ht="15.75">
      <c r="A82" s="291"/>
      <c r="B82" s="412" t="s">
        <v>513</v>
      </c>
      <c r="C82" s="291"/>
      <c r="D82" s="291"/>
      <c r="E82" s="289">
        <f>+'Exhibit I State'!E82+'Exhibit I Federal'!E64</f>
        <v>406</v>
      </c>
      <c r="F82" s="289"/>
      <c r="G82" s="289">
        <f>+'Exhibit I State'!G82+'Exhibit I Federal'!G64</f>
        <v>642.80000000000007</v>
      </c>
      <c r="H82" s="289"/>
      <c r="I82" s="289">
        <f>+'Exhibit I State'!I82+'Exhibit I Federal'!I64</f>
        <v>1242.9999999999998</v>
      </c>
      <c r="J82" s="275"/>
      <c r="K82" s="289"/>
      <c r="L82" s="264"/>
      <c r="M82" s="289"/>
      <c r="N82" s="264"/>
      <c r="O82" s="289"/>
      <c r="P82" s="264"/>
      <c r="Q82" s="289"/>
      <c r="R82" s="264"/>
      <c r="S82" s="289"/>
      <c r="T82" s="289"/>
      <c r="U82" s="289"/>
      <c r="V82" s="289"/>
      <c r="W82" s="289"/>
      <c r="X82" s="289"/>
      <c r="Y82" s="289"/>
      <c r="Z82" s="289"/>
      <c r="AA82" s="289"/>
      <c r="AB82" s="289"/>
      <c r="AC82" s="289">
        <v>0</v>
      </c>
      <c r="AD82" s="264"/>
      <c r="AE82" s="523"/>
      <c r="AF82" s="287">
        <f>ROUND(SUM(E82:AC82),1)</f>
        <v>2291.8000000000002</v>
      </c>
      <c r="AG82" s="1232"/>
      <c r="AH82" s="264"/>
      <c r="AI82" s="885">
        <f>+'Exhibit I State'!AG82+'Exhibit I Federal'!AG64</f>
        <v>2335.6999999999998</v>
      </c>
      <c r="AJ82" s="287"/>
      <c r="AK82" s="97"/>
      <c r="AL82" s="1064">
        <f>ROUND(SUM(+AF82-AI82),1)</f>
        <v>-43.9</v>
      </c>
      <c r="AN82" s="863">
        <f>ROUND(IF(AI82=0,1,AL82/ABS(AI82)),3)</f>
        <v>-1.9E-2</v>
      </c>
    </row>
    <row r="83" spans="1:42" ht="15.75">
      <c r="A83" s="291"/>
      <c r="B83" s="291"/>
      <c r="C83" s="291"/>
      <c r="D83" s="291"/>
      <c r="E83" s="615"/>
      <c r="F83" s="264"/>
      <c r="G83" s="615"/>
      <c r="H83" s="264"/>
      <c r="I83" s="615"/>
      <c r="J83" s="264"/>
      <c r="K83" s="615"/>
      <c r="L83" s="264"/>
      <c r="M83" s="615"/>
      <c r="N83" s="264"/>
      <c r="O83" s="615"/>
      <c r="P83" s="264"/>
      <c r="Q83" s="615"/>
      <c r="R83" s="264"/>
      <c r="S83" s="615"/>
      <c r="T83" s="264"/>
      <c r="U83" s="615"/>
      <c r="V83" s="264"/>
      <c r="W83" s="615"/>
      <c r="X83" s="264"/>
      <c r="Y83" s="615"/>
      <c r="Z83" s="264"/>
      <c r="AA83" s="615"/>
      <c r="AB83" s="264"/>
      <c r="AC83" s="615"/>
      <c r="AD83" s="264"/>
      <c r="AE83" s="523"/>
      <c r="AF83" s="615"/>
      <c r="AG83" s="1232"/>
      <c r="AH83" s="264"/>
      <c r="AI83" s="12"/>
      <c r="AJ83" s="12"/>
      <c r="AK83" s="98"/>
      <c r="AL83" s="12"/>
      <c r="AN83" s="96"/>
    </row>
    <row r="84" spans="1:42" ht="15.75">
      <c r="A84" s="291"/>
      <c r="B84" s="3" t="s">
        <v>569</v>
      </c>
      <c r="C84" s="291"/>
      <c r="D84" s="291"/>
      <c r="E84" s="13">
        <f>ROUND(SUM(+E82+E77),1)</f>
        <v>766.7</v>
      </c>
      <c r="F84" s="13"/>
      <c r="G84" s="13">
        <f>ROUND(SUM(G77:G82),1)</f>
        <v>932.8</v>
      </c>
      <c r="H84" s="13"/>
      <c r="I84" s="13">
        <f>ROUND(SUM(I77:I82),1)</f>
        <v>1941</v>
      </c>
      <c r="J84" s="13"/>
      <c r="K84" s="13">
        <f>ROUND(SUM(+K82+K77),1)</f>
        <v>0</v>
      </c>
      <c r="L84" s="13"/>
      <c r="M84" s="13">
        <f>ROUND(SUM(+M82+M77),1)</f>
        <v>0</v>
      </c>
      <c r="N84" s="13"/>
      <c r="O84" s="13">
        <f>ROUND(SUM(+O82+O77),1)</f>
        <v>0</v>
      </c>
      <c r="P84" s="13"/>
      <c r="Q84" s="13">
        <f>ROUND(SUM(+Q82+Q77),1)</f>
        <v>0</v>
      </c>
      <c r="R84" s="13"/>
      <c r="S84" s="13">
        <f>ROUND(SUM(+S82+S77),1)</f>
        <v>0</v>
      </c>
      <c r="T84" s="13"/>
      <c r="U84" s="13">
        <f>ROUND(SUM(+U82+U77),1)</f>
        <v>0</v>
      </c>
      <c r="V84" s="13"/>
      <c r="W84" s="13">
        <f>ROUND(SUM(+W82+W77),1)</f>
        <v>0</v>
      </c>
      <c r="X84" s="13"/>
      <c r="Y84" s="13">
        <f>ROUND(SUM(+Y82+Y77),1)</f>
        <v>0</v>
      </c>
      <c r="Z84" s="13"/>
      <c r="AA84" s="13">
        <f>ROUND(SUM(+AA82+AA77),1)</f>
        <v>0</v>
      </c>
      <c r="AB84" s="13"/>
      <c r="AC84" s="13">
        <f>ROUND(SUM(+AC82+AC77),1)</f>
        <v>0</v>
      </c>
      <c r="AD84" s="13"/>
      <c r="AE84" s="14"/>
      <c r="AF84" s="1927">
        <f>ROUND(SUM(+AF82+AF77+AF79+AF80+AF81),1)</f>
        <v>3640.5</v>
      </c>
      <c r="AG84" s="1234"/>
      <c r="AH84" s="13"/>
      <c r="AI84" s="13">
        <f>ROUND(SUM(+AI82+AI77+AI79+AI80+AI81),1)</f>
        <v>3486.7</v>
      </c>
      <c r="AJ84" s="13"/>
      <c r="AK84" s="98"/>
      <c r="AL84" s="357">
        <f>ROUND(SUM(AL77+AL82+AL79+AL80+AL81),1)</f>
        <v>153.80000000000001</v>
      </c>
      <c r="AM84" s="3"/>
      <c r="AN84" s="368">
        <f>ROUND(SUM(AL84/AI84),3)</f>
        <v>4.3999999999999997E-2</v>
      </c>
      <c r="AO84" s="3"/>
      <c r="AP84" s="40"/>
    </row>
    <row r="85" spans="1:42" ht="15.75">
      <c r="A85" s="291"/>
      <c r="B85" s="291"/>
      <c r="C85" s="291"/>
      <c r="D85" s="291"/>
      <c r="E85" s="615"/>
      <c r="F85" s="264"/>
      <c r="G85" s="615"/>
      <c r="H85" s="264"/>
      <c r="I85" s="615"/>
      <c r="J85" s="264"/>
      <c r="K85" s="615"/>
      <c r="L85" s="264"/>
      <c r="M85" s="615"/>
      <c r="N85" s="264"/>
      <c r="O85" s="615"/>
      <c r="P85" s="264"/>
      <c r="Q85" s="615"/>
      <c r="R85" s="264"/>
      <c r="S85" s="615"/>
      <c r="T85" s="264"/>
      <c r="U85" s="615"/>
      <c r="V85" s="264"/>
      <c r="W85" s="615"/>
      <c r="X85" s="264"/>
      <c r="Y85" s="615"/>
      <c r="Z85" s="264"/>
      <c r="AA85" s="615"/>
      <c r="AB85" s="264"/>
      <c r="AC85" s="615"/>
      <c r="AD85" s="264"/>
      <c r="AE85" s="523"/>
      <c r="AF85" s="615"/>
      <c r="AG85" s="1232"/>
      <c r="AH85" s="264"/>
      <c r="AI85" s="615"/>
      <c r="AJ85" s="264"/>
      <c r="AK85" s="98"/>
      <c r="AL85" s="12"/>
      <c r="AN85" s="96"/>
    </row>
    <row r="86" spans="1:42" ht="15.75">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523"/>
      <c r="AF86" s="12"/>
      <c r="AG86" s="1232"/>
      <c r="AH86" s="264"/>
      <c r="AI86" s="12"/>
      <c r="AJ86" s="12"/>
      <c r="AK86" s="98"/>
      <c r="AL86" s="12"/>
      <c r="AN86" s="96"/>
    </row>
    <row r="87" spans="1:42" ht="15.75">
      <c r="A87" s="291"/>
      <c r="B87" s="3" t="s">
        <v>571</v>
      </c>
      <c r="C87" s="291"/>
      <c r="D87" s="291"/>
      <c r="E87" s="13">
        <f>ROUND(SUM(E64-E84),1)</f>
        <v>-553.9</v>
      </c>
      <c r="F87" s="13"/>
      <c r="G87" s="13">
        <f>ROUND(SUM(G64-G84),1)</f>
        <v>-618.20000000000005</v>
      </c>
      <c r="H87" s="13"/>
      <c r="I87" s="13">
        <f>ROUND(SUM(I64-I84),1)</f>
        <v>762.3</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3">
        <f>ROUND(SUM(AC64-AC84),1)</f>
        <v>0</v>
      </c>
      <c r="AD87" s="13"/>
      <c r="AE87" s="14"/>
      <c r="AF87" s="13">
        <f>ROUND(SUM(AF64-AF84),1)</f>
        <v>-409.8</v>
      </c>
      <c r="AG87" s="1234"/>
      <c r="AH87" s="13"/>
      <c r="AI87" s="13">
        <f>ROUND(SUM(AI64-AI84),1)</f>
        <v>-2171.9</v>
      </c>
      <c r="AJ87" s="13"/>
      <c r="AK87" s="98"/>
      <c r="AL87" s="357">
        <f>ROUND(SUM(AL64-AL84),1)</f>
        <v>1762.1</v>
      </c>
      <c r="AM87" s="3"/>
      <c r="AN87" s="611">
        <f>ROUND(IF(AI87=0,0,AL87/ABS(AI87)),3)</f>
        <v>0.81100000000000005</v>
      </c>
      <c r="AO87" s="3"/>
      <c r="AP87" s="3"/>
    </row>
    <row r="88" spans="1:42" ht="15.75">
      <c r="A88" s="291"/>
      <c r="B88" s="291"/>
      <c r="C88" s="291"/>
      <c r="D88" s="291"/>
      <c r="E88" s="615"/>
      <c r="F88" s="264"/>
      <c r="G88" s="615"/>
      <c r="H88" s="264"/>
      <c r="I88" s="615"/>
      <c r="J88" s="264"/>
      <c r="K88" s="615"/>
      <c r="L88" s="264"/>
      <c r="M88" s="615"/>
      <c r="N88" s="264"/>
      <c r="O88" s="615"/>
      <c r="P88" s="264"/>
      <c r="Q88" s="615"/>
      <c r="R88" s="264"/>
      <c r="S88" s="615"/>
      <c r="T88" s="264"/>
      <c r="U88" s="615"/>
      <c r="V88" s="264"/>
      <c r="W88" s="615"/>
      <c r="X88" s="264"/>
      <c r="Y88" s="615"/>
      <c r="Z88" s="264"/>
      <c r="AA88" s="615"/>
      <c r="AB88" s="264"/>
      <c r="AC88" s="615"/>
      <c r="AD88" s="264"/>
      <c r="AE88" s="523"/>
      <c r="AF88" s="615"/>
      <c r="AG88" s="1232"/>
      <c r="AH88" s="264"/>
      <c r="AI88" s="615"/>
      <c r="AJ88" s="264"/>
      <c r="AK88" s="98"/>
      <c r="AL88" s="12"/>
      <c r="AN88" s="96"/>
    </row>
    <row r="89" spans="1:42" ht="15.75">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523"/>
      <c r="AF89" s="264"/>
      <c r="AG89" s="1232"/>
      <c r="AH89" s="264"/>
      <c r="AI89" s="367"/>
      <c r="AJ89" s="367"/>
      <c r="AK89" s="100"/>
      <c r="AL89" s="12"/>
      <c r="AN89" s="96"/>
    </row>
    <row r="90" spans="1:42" ht="15.75">
      <c r="A90" s="291"/>
      <c r="B90" s="291" t="s">
        <v>573</v>
      </c>
      <c r="C90" s="291"/>
      <c r="D90" s="291"/>
      <c r="E90" s="289">
        <f>+'Exhibit I State'!E90</f>
        <v>0</v>
      </c>
      <c r="F90" s="289"/>
      <c r="G90" s="289">
        <f>+'Exhibit I State'!G90</f>
        <v>0</v>
      </c>
      <c r="H90" s="289"/>
      <c r="I90" s="289">
        <f>+'Exhibit I State'!I90</f>
        <v>0</v>
      </c>
      <c r="J90" s="264"/>
      <c r="K90" s="289"/>
      <c r="L90" s="264"/>
      <c r="M90" s="289"/>
      <c r="N90" s="275"/>
      <c r="O90" s="289"/>
      <c r="P90" s="264"/>
      <c r="Q90" s="289"/>
      <c r="R90" s="264"/>
      <c r="S90" s="289"/>
      <c r="T90" s="289"/>
      <c r="U90" s="289"/>
      <c r="V90" s="289"/>
      <c r="W90" s="289"/>
      <c r="X90" s="289"/>
      <c r="Y90" s="289"/>
      <c r="Z90" s="289"/>
      <c r="AA90" s="289"/>
      <c r="AB90" s="289"/>
      <c r="AC90" s="289">
        <v>0</v>
      </c>
      <c r="AD90" s="264"/>
      <c r="AE90" s="523"/>
      <c r="AF90" s="287">
        <f>ROUND(SUM(E90:AC90),1)</f>
        <v>0</v>
      </c>
      <c r="AG90" s="1232"/>
      <c r="AH90" s="264"/>
      <c r="AI90" s="367">
        <f>+'Exhibit I State'!AG90</f>
        <v>0</v>
      </c>
      <c r="AJ90" s="367"/>
      <c r="AK90" s="100"/>
      <c r="AL90" s="264">
        <f>ROUND(SUM(+AF90-AI90),1)</f>
        <v>0</v>
      </c>
      <c r="AM90" s="41"/>
      <c r="AN90" s="374">
        <f>ROUND(IF(AI90=0,0,AL90/ABS(AI90)),3)</f>
        <v>0</v>
      </c>
      <c r="AP90" s="12"/>
    </row>
    <row r="91" spans="1:42" ht="15.75">
      <c r="A91" s="291"/>
      <c r="B91" s="412" t="s">
        <v>515</v>
      </c>
      <c r="C91" s="291"/>
      <c r="D91" s="291"/>
      <c r="E91" s="289">
        <f>+'Exhibit I State'!E91+'Exhibit I Federal'!E72</f>
        <v>463.8</v>
      </c>
      <c r="F91" s="289"/>
      <c r="G91" s="289">
        <f>+'Exhibit I State'!G91+'Exhibit I Federal'!G72</f>
        <v>402.8</v>
      </c>
      <c r="H91" s="289"/>
      <c r="I91" s="289">
        <f>+'Exhibit I State'!I91+'Exhibit I Federal'!I72</f>
        <v>-1129.0999999999999</v>
      </c>
      <c r="J91" s="264"/>
      <c r="K91" s="289"/>
      <c r="L91" s="264"/>
      <c r="M91" s="289"/>
      <c r="N91" s="264"/>
      <c r="O91" s="289"/>
      <c r="P91" s="264"/>
      <c r="Q91" s="289"/>
      <c r="R91" s="264"/>
      <c r="S91" s="289"/>
      <c r="T91" s="289"/>
      <c r="U91" s="289"/>
      <c r="V91" s="289"/>
      <c r="W91" s="289"/>
      <c r="X91" s="289"/>
      <c r="Y91" s="289"/>
      <c r="Z91" s="289"/>
      <c r="AA91" s="289"/>
      <c r="AB91" s="1068"/>
      <c r="AC91" s="1192">
        <v>0</v>
      </c>
      <c r="AD91" s="264"/>
      <c r="AE91" s="523"/>
      <c r="AF91" s="287">
        <f>ROUND(SUM(E91:AC91),1)</f>
        <v>-262.5</v>
      </c>
      <c r="AG91" s="1232"/>
      <c r="AH91" s="264"/>
      <c r="AI91" s="264">
        <f>'Exhibit I State'!AG91+'Exhibit I Federal'!AG72</f>
        <v>1644.6</v>
      </c>
      <c r="AJ91" s="287"/>
      <c r="AK91" s="97"/>
      <c r="AL91" s="264">
        <f>ROUND(SUM(+AF91-AI91),1)</f>
        <v>-1907.1</v>
      </c>
      <c r="AN91" s="561">
        <f>ROUND(IF(AI91=0,0,AL91/ABS(AI91)),3)</f>
        <v>-1.1599999999999999</v>
      </c>
      <c r="AP91" s="41"/>
    </row>
    <row r="92" spans="1:42" ht="15.75">
      <c r="A92" s="291"/>
      <c r="B92" s="412" t="s">
        <v>574</v>
      </c>
      <c r="C92" s="291"/>
      <c r="D92" s="291"/>
      <c r="E92" s="289">
        <f>+'Exhibit I State'!E92+'Exhibit I Federal'!E73</f>
        <v>-1.3</v>
      </c>
      <c r="F92" s="289"/>
      <c r="G92" s="289">
        <f>+'Exhibit I State'!G92+'Exhibit I Federal'!G73</f>
        <v>-1.8</v>
      </c>
      <c r="H92" s="289"/>
      <c r="I92" s="289">
        <f>+'Exhibit I State'!I92+'Exhibit I Federal'!I73</f>
        <v>-0.29999999999999982</v>
      </c>
      <c r="J92" s="264"/>
      <c r="K92" s="289"/>
      <c r="L92" s="264"/>
      <c r="M92" s="289"/>
      <c r="N92" s="264"/>
      <c r="O92" s="289"/>
      <c r="P92" s="264"/>
      <c r="Q92" s="289"/>
      <c r="R92" s="264"/>
      <c r="S92" s="289"/>
      <c r="T92" s="289"/>
      <c r="U92" s="289"/>
      <c r="V92" s="289"/>
      <c r="W92" s="289"/>
      <c r="X92" s="289"/>
      <c r="Y92" s="289"/>
      <c r="Z92" s="289"/>
      <c r="AA92" s="289"/>
      <c r="AB92" s="1068"/>
      <c r="AC92" s="985">
        <v>0</v>
      </c>
      <c r="AD92" s="264"/>
      <c r="AE92" s="523"/>
      <c r="AF92" s="287">
        <f>ROUND(SUM(E92:AC92),1)</f>
        <v>-3.4</v>
      </c>
      <c r="AG92" s="1232"/>
      <c r="AH92" s="264"/>
      <c r="AI92" s="1950">
        <f>'Exhibit I State'!AG92+'Exhibit I Federal'!AG73</f>
        <v>-4.3</v>
      </c>
      <c r="AJ92" s="264"/>
      <c r="AK92" s="98"/>
      <c r="AL92" s="382">
        <f>ROUND(-SUM(+AF92-AI92),1)</f>
        <v>-0.9</v>
      </c>
      <c r="AN92" s="863">
        <f>ROUND(IF(AI92=0,0,AL92/ABS(AI92)),3)</f>
        <v>-0.20899999999999999</v>
      </c>
      <c r="AO92" s="12"/>
      <c r="AP92" s="41"/>
    </row>
    <row r="93" spans="1:42" ht="15.75">
      <c r="A93" s="291"/>
      <c r="B93" s="291"/>
      <c r="C93" s="291"/>
      <c r="D93" s="291"/>
      <c r="E93" s="615"/>
      <c r="F93" s="264"/>
      <c r="G93" s="615"/>
      <c r="H93" s="264"/>
      <c r="I93" s="615"/>
      <c r="J93" s="264"/>
      <c r="K93" s="615"/>
      <c r="L93" s="264"/>
      <c r="M93" s="615"/>
      <c r="N93" s="264"/>
      <c r="O93" s="615"/>
      <c r="P93" s="264"/>
      <c r="Q93" s="615"/>
      <c r="R93" s="264"/>
      <c r="S93" s="615"/>
      <c r="T93" s="264"/>
      <c r="U93" s="615"/>
      <c r="V93" s="264"/>
      <c r="W93" s="615"/>
      <c r="X93" s="264"/>
      <c r="Y93" s="615"/>
      <c r="Z93" s="264"/>
      <c r="AA93" s="615"/>
      <c r="AB93" s="264"/>
      <c r="AC93" s="264"/>
      <c r="AD93" s="264"/>
      <c r="AE93" s="523"/>
      <c r="AF93" s="615"/>
      <c r="AG93" s="1232"/>
      <c r="AH93" s="264"/>
      <c r="AI93" s="12"/>
      <c r="AJ93" s="12"/>
      <c r="AK93" s="98"/>
      <c r="AL93" s="12"/>
      <c r="AN93" s="96"/>
      <c r="AO93" s="41"/>
    </row>
    <row r="94" spans="1:42" ht="15.75">
      <c r="A94" s="291"/>
      <c r="B94" s="3" t="s">
        <v>575</v>
      </c>
      <c r="C94" s="291"/>
      <c r="D94" s="291"/>
      <c r="E94" s="13">
        <f>ROUND(SUM(E90:E93),1)</f>
        <v>462.5</v>
      </c>
      <c r="F94" s="13"/>
      <c r="G94" s="13">
        <f>ROUND(SUM(G90:G93),1)</f>
        <v>401</v>
      </c>
      <c r="H94" s="13"/>
      <c r="I94" s="13">
        <f>ROUND(SUM(I90:I93),1)</f>
        <v>-1129.4000000000001</v>
      </c>
      <c r="J94" s="13"/>
      <c r="K94" s="13">
        <f>ROUND(SUM(K90:K93),1)</f>
        <v>0</v>
      </c>
      <c r="L94" s="13"/>
      <c r="M94" s="13">
        <f>ROUND(SUM(M90:M93),1)</f>
        <v>0</v>
      </c>
      <c r="N94" s="13"/>
      <c r="O94" s="13">
        <f>ROUND(SUM(O90:O93),1)</f>
        <v>0</v>
      </c>
      <c r="P94" s="13"/>
      <c r="Q94" s="13">
        <f>ROUND(SUM(Q90:Q93),1)</f>
        <v>0</v>
      </c>
      <c r="R94" s="13"/>
      <c r="S94" s="13">
        <f>ROUND(SUM(S90:S93),1)</f>
        <v>0</v>
      </c>
      <c r="T94" s="13"/>
      <c r="U94" s="13">
        <f>ROUND(SUM(U90:U93),1)</f>
        <v>0</v>
      </c>
      <c r="V94" s="13"/>
      <c r="W94" s="13">
        <f>ROUND(SUM(W90:W93),1)</f>
        <v>0</v>
      </c>
      <c r="X94" s="13"/>
      <c r="Y94" s="13">
        <f>ROUND(SUM(Y90:Y93),1)</f>
        <v>0</v>
      </c>
      <c r="Z94" s="13"/>
      <c r="AA94" s="13">
        <f>ROUND(SUM(AA90:AA93),1)</f>
        <v>0</v>
      </c>
      <c r="AB94" s="13"/>
      <c r="AC94" s="13">
        <f>ROUND(SUM(AC90:AC93),1)</f>
        <v>0</v>
      </c>
      <c r="AD94" s="13"/>
      <c r="AE94" s="14"/>
      <c r="AF94" s="13">
        <f>ROUND(SUM(AF90:AF93),1)</f>
        <v>-265.89999999999998</v>
      </c>
      <c r="AG94" s="1234"/>
      <c r="AH94" s="13"/>
      <c r="AI94" s="13">
        <f>ROUND(SUM(AI90:AI93),1)</f>
        <v>1640.3</v>
      </c>
      <c r="AJ94" s="13"/>
      <c r="AK94" s="98"/>
      <c r="AL94" s="357">
        <f>ROUND(SUM(AF94-AI94),1)</f>
        <v>-1906.2</v>
      </c>
      <c r="AM94" s="3"/>
      <c r="AN94" s="611">
        <f>ROUND(SUM(AL94/ABS(AI94)),3)</f>
        <v>-1.1619999999999999</v>
      </c>
      <c r="AO94" s="3"/>
      <c r="AP94" s="3"/>
    </row>
    <row r="95" spans="1:42" ht="15.75">
      <c r="A95" s="291"/>
      <c r="B95" s="291"/>
      <c r="C95" s="291"/>
      <c r="D95" s="291"/>
      <c r="E95" s="615"/>
      <c r="F95" s="264"/>
      <c r="G95" s="615"/>
      <c r="H95" s="264"/>
      <c r="I95" s="615"/>
      <c r="J95" s="264"/>
      <c r="K95" s="615"/>
      <c r="L95" s="264"/>
      <c r="M95" s="615"/>
      <c r="N95" s="264"/>
      <c r="O95" s="615"/>
      <c r="P95" s="264"/>
      <c r="Q95" s="615"/>
      <c r="R95" s="264"/>
      <c r="S95" s="615"/>
      <c r="T95" s="264"/>
      <c r="U95" s="615"/>
      <c r="V95" s="264"/>
      <c r="W95" s="615"/>
      <c r="X95" s="264"/>
      <c r="Y95" s="615"/>
      <c r="Z95" s="264"/>
      <c r="AA95" s="615"/>
      <c r="AB95" s="264"/>
      <c r="AC95" s="615"/>
      <c r="AD95" s="264"/>
      <c r="AE95" s="523"/>
      <c r="AF95" s="615"/>
      <c r="AG95" s="1232"/>
      <c r="AH95" s="264"/>
      <c r="AI95" s="615"/>
      <c r="AJ95" s="264"/>
      <c r="AK95" s="98"/>
      <c r="AL95" s="12"/>
      <c r="AN95" s="96"/>
    </row>
    <row r="96" spans="1:42" ht="15.75">
      <c r="A96" s="291"/>
      <c r="B96" s="3" t="s">
        <v>576</v>
      </c>
      <c r="C96" s="291"/>
      <c r="D96" s="291"/>
      <c r="E96" s="264"/>
      <c r="F96" s="264"/>
      <c r="G96" s="264"/>
      <c r="H96" s="264"/>
      <c r="I96" s="264"/>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264" t="s">
        <v>103</v>
      </c>
      <c r="AD96" s="264"/>
      <c r="AE96" s="523"/>
      <c r="AF96" s="264"/>
      <c r="AG96" s="1232"/>
      <c r="AH96" s="264"/>
      <c r="AI96" s="264" t="s">
        <v>103</v>
      </c>
      <c r="AJ96" s="264"/>
      <c r="AK96" s="98"/>
      <c r="AL96" s="12"/>
      <c r="AN96" s="96"/>
    </row>
    <row r="97" spans="1:42" ht="15.75">
      <c r="A97" s="291"/>
      <c r="B97" s="3" t="s">
        <v>577</v>
      </c>
      <c r="C97" s="291"/>
      <c r="D97" s="29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34"/>
      <c r="AH97" s="13"/>
      <c r="AI97" s="13"/>
      <c r="AJ97" s="13"/>
      <c r="AK97" s="98"/>
      <c r="AL97" s="13"/>
      <c r="AM97" s="3"/>
      <c r="AN97" s="74"/>
      <c r="AO97" s="3"/>
      <c r="AP97" s="3"/>
    </row>
    <row r="98" spans="1:42" ht="15.75">
      <c r="A98" s="291"/>
      <c r="B98" s="3" t="s">
        <v>518</v>
      </c>
      <c r="C98" s="291"/>
      <c r="D98" s="291"/>
      <c r="E98" s="1070">
        <f>ROUND(SUM(E87+E94),1)</f>
        <v>-91.4</v>
      </c>
      <c r="F98" s="13"/>
      <c r="G98" s="1070">
        <f>ROUND(SUM(G87+G94),1)</f>
        <v>-217.2</v>
      </c>
      <c r="H98" s="13"/>
      <c r="I98" s="1070">
        <f>ROUND(SUM(I87+I94),1)</f>
        <v>-367.1</v>
      </c>
      <c r="J98" s="13"/>
      <c r="K98" s="1070">
        <f>ROUND(SUM(K87+K94),1)</f>
        <v>0</v>
      </c>
      <c r="L98" s="13"/>
      <c r="M98" s="1070">
        <f>ROUND(SUM(M87+M94),1)</f>
        <v>0</v>
      </c>
      <c r="N98" s="13"/>
      <c r="O98" s="1070">
        <f>ROUND(SUM(O87+O94),1)</f>
        <v>0</v>
      </c>
      <c r="P98" s="13"/>
      <c r="Q98" s="1070">
        <f>ROUND(SUM(Q87+Q94),1)</f>
        <v>0</v>
      </c>
      <c r="R98" s="13"/>
      <c r="S98" s="1070">
        <f>ROUND(SUM(S87+S94),1)</f>
        <v>0</v>
      </c>
      <c r="T98" s="13"/>
      <c r="U98" s="1070">
        <f>ROUND(SUM(U87+U94),1)</f>
        <v>0</v>
      </c>
      <c r="V98" s="13"/>
      <c r="W98" s="1069">
        <f>ROUND(SUM(W87+W94),1)</f>
        <v>0</v>
      </c>
      <c r="X98" s="13"/>
      <c r="Y98" s="1069">
        <f>ROUND(SUM(Y87+Y94),1)</f>
        <v>0</v>
      </c>
      <c r="Z98" s="13"/>
      <c r="AA98" s="1069">
        <f>ROUND(SUM(AA87+AA94),1)</f>
        <v>0</v>
      </c>
      <c r="AB98" s="662"/>
      <c r="AC98" s="1069">
        <f>ROUND(SUM(AC87+AC94),1)</f>
        <v>0</v>
      </c>
      <c r="AD98" s="13"/>
      <c r="AE98" s="14"/>
      <c r="AF98" s="1070">
        <f>ROUND(AF87+AF94,1)</f>
        <v>-675.7</v>
      </c>
      <c r="AG98" s="1234"/>
      <c r="AH98" s="13"/>
      <c r="AI98" s="1070">
        <f>ROUND(SUM(AI87+AI94),1)</f>
        <v>-531.6</v>
      </c>
      <c r="AJ98" s="13"/>
      <c r="AK98" s="98"/>
      <c r="AL98" s="1069">
        <f>ROUND(SUM(+AF98-AI98),1)</f>
        <v>-144.1</v>
      </c>
      <c r="AM98" s="3"/>
      <c r="AN98" s="573">
        <f>ROUND(IF(AI98=0,0,AL98/ABS(AI98)),3)</f>
        <v>-0.27100000000000002</v>
      </c>
      <c r="AO98" s="3"/>
      <c r="AP98" s="101"/>
    </row>
    <row r="99" spans="1:42">
      <c r="A99" s="291"/>
      <c r="B99" s="291" t="s">
        <v>103</v>
      </c>
      <c r="C99" s="291"/>
      <c r="D99" s="291"/>
      <c r="E99" s="291"/>
      <c r="F99" s="291"/>
      <c r="G99" s="291"/>
      <c r="H99" s="291"/>
      <c r="I99" s="291"/>
      <c r="J99" s="291"/>
      <c r="K99" s="291"/>
      <c r="L99" s="291"/>
      <c r="M99" s="291"/>
      <c r="N99" s="291"/>
      <c r="O99" s="291"/>
      <c r="P99" s="291"/>
      <c r="Q99" s="291"/>
      <c r="R99" s="291"/>
      <c r="S99" s="405" t="s">
        <v>103</v>
      </c>
      <c r="T99" s="291"/>
      <c r="U99" s="405" t="s">
        <v>103</v>
      </c>
      <c r="V99" s="291"/>
      <c r="W99" s="405" t="s">
        <v>103</v>
      </c>
      <c r="X99" s="291"/>
      <c r="Y99" s="405" t="s">
        <v>103</v>
      </c>
      <c r="Z99" s="291"/>
      <c r="AA99" s="291"/>
      <c r="AB99" s="291"/>
      <c r="AC99" s="291"/>
      <c r="AD99" s="379"/>
      <c r="AE99" s="1071"/>
      <c r="AF99" s="291"/>
      <c r="AG99" s="379"/>
      <c r="AH99" s="1071"/>
      <c r="AI99" s="291"/>
      <c r="AJ99" s="1033"/>
      <c r="AK99" s="364"/>
      <c r="AN99" s="96"/>
    </row>
    <row r="100" spans="1:42" s="4" customFormat="1" ht="15" customHeight="1" thickBot="1">
      <c r="A100" s="291"/>
      <c r="B100" s="3" t="s">
        <v>532</v>
      </c>
      <c r="C100" s="291"/>
      <c r="D100" s="364"/>
      <c r="E100" s="70">
        <f>ROUND(SUM(+E98+E13),1)</f>
        <v>-2574.5</v>
      </c>
      <c r="F100" s="20"/>
      <c r="G100" s="70">
        <f>ROUND(SUM(+G98+G13),1)</f>
        <v>-2791.7</v>
      </c>
      <c r="H100" s="20"/>
      <c r="I100" s="70">
        <f>ROUND(SUM(+I98+I13),1)</f>
        <v>-3158.8</v>
      </c>
      <c r="J100" s="20"/>
      <c r="K100" s="70">
        <f>ROUND(SUM(+K98+K13),1)</f>
        <v>0</v>
      </c>
      <c r="L100" s="20"/>
      <c r="M100" s="70">
        <f>ROUND(SUM(+M98+M13),1)</f>
        <v>0</v>
      </c>
      <c r="N100" s="20"/>
      <c r="O100" s="70">
        <f>ROUND(SUM(+O98+O13),1)</f>
        <v>0</v>
      </c>
      <c r="P100" s="20"/>
      <c r="Q100" s="70">
        <f>ROUND(SUM(+Q98+Q13),1)</f>
        <v>0</v>
      </c>
      <c r="R100" s="20"/>
      <c r="S100" s="70">
        <f>ROUND(SUM(+S98+S13),1)</f>
        <v>0</v>
      </c>
      <c r="T100" s="20"/>
      <c r="U100" s="70">
        <f>ROUND(SUM(+U98+U13),1)</f>
        <v>0</v>
      </c>
      <c r="V100" s="20"/>
      <c r="W100" s="70">
        <f>ROUND(SUM(+W98+W13),1)</f>
        <v>0</v>
      </c>
      <c r="X100" s="20"/>
      <c r="Y100" s="70">
        <f>ROUND(SUM(+Y98+Y13),1)</f>
        <v>0</v>
      </c>
      <c r="Z100" s="20"/>
      <c r="AA100" s="70">
        <f>ROUND(SUM(+AA98+AA13),1)</f>
        <v>0</v>
      </c>
      <c r="AB100" s="20"/>
      <c r="AC100" s="70">
        <f>ROUND(SUM(+AC98+AC13),1)</f>
        <v>0</v>
      </c>
      <c r="AD100" s="20"/>
      <c r="AE100" s="21"/>
      <c r="AF100" s="70">
        <f>ROUND(SUM(+AF98+AF13),1)</f>
        <v>-3158.8</v>
      </c>
      <c r="AG100" s="20"/>
      <c r="AH100" s="21"/>
      <c r="AI100" s="70">
        <f>ROUND(SUM(+AI98+AI13),1)</f>
        <v>-1987.6</v>
      </c>
      <c r="AJ100" s="73"/>
      <c r="AK100" s="20"/>
      <c r="AL100" s="70">
        <f>ROUND(SUM(+AL98+AL13),1)</f>
        <v>-1171.2</v>
      </c>
      <c r="AM100" s="45"/>
      <c r="AN100" s="77">
        <f>ROUND(SUM(-(+AF100-AI100)/AI100),3)</f>
        <v>-0.58899999999999997</v>
      </c>
      <c r="AO100" s="3"/>
      <c r="AP100" s="3"/>
    </row>
    <row r="101" spans="1:42" ht="15.75" thickTop="1">
      <c r="B101" s="925"/>
    </row>
    <row r="102" spans="1:42">
      <c r="B102" s="428" t="s">
        <v>578</v>
      </c>
      <c r="C102" s="103"/>
      <c r="D102" s="103"/>
      <c r="E102" s="103"/>
      <c r="F102" s="103"/>
      <c r="G102" s="103"/>
      <c r="AI102" s="886"/>
      <c r="AL102" s="41"/>
    </row>
    <row r="103" spans="1:42">
      <c r="B103" s="102"/>
      <c r="C103" s="103"/>
      <c r="D103" s="103"/>
      <c r="E103" s="103"/>
      <c r="F103" s="103"/>
      <c r="G103" s="103"/>
      <c r="AL103" s="41"/>
    </row>
    <row r="104" spans="1:42">
      <c r="B104" s="104"/>
      <c r="AC104" s="512"/>
      <c r="AF104" s="425"/>
      <c r="AL104" s="41"/>
    </row>
    <row r="105" spans="1:42">
      <c r="B105" s="104"/>
      <c r="AC105" s="512"/>
    </row>
    <row r="106" spans="1:42">
      <c r="B106" s="102"/>
    </row>
    <row r="107" spans="1:42">
      <c r="B107" s="104"/>
    </row>
    <row r="108" spans="1:42">
      <c r="B108" s="104"/>
    </row>
    <row r="109" spans="1:42">
      <c r="B109" s="102"/>
    </row>
  </sheetData>
  <customSheetViews>
    <customSheetView guid="{83D69B98-1714-4D17-901F-87B47BE66947}" scale="90" showPageBreaks="1" showGridLines="0" printArea="1" topLeftCell="O21">
      <selection activeCell="AF28" sqref="AF28"/>
      <rowBreaks count="1" manualBreakCount="1">
        <brk id="64" min="1" max="39" man="1"/>
      </rowBreaks>
      <pageMargins left="0.25" right="0.25" top="0.5" bottom="0.25" header="0" footer="0.25"/>
      <printOptions horizontalCentered="1"/>
      <pageSetup scale="39" firstPageNumber="29" orientation="landscape" useFirstPageNumber="1" r:id="rId1"/>
      <headerFooter scaleWithDoc="0" alignWithMargins="0">
        <oddFooter>&amp;C&amp;8&amp;P</oddFooter>
      </headerFooter>
    </customSheetView>
    <customSheetView guid="{F9AE1502-86F7-4AAA-AE66-F6A75A634C1B}"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2"/>
      <headerFooter scaleWithDoc="0" alignWithMargins="0">
        <oddFooter>&amp;C&amp;8&amp;P</oddFooter>
      </headerFooter>
    </customSheetView>
    <customSheetView guid="{C41E3923-0A88-49D0-AE43-0E74D386A056}" scale="70" showPageBreaks="1" showGridLines="0" printArea="1" topLeftCell="A67">
      <selection activeCell="AN42" sqref="AN42"/>
      <rowBreaks count="1" manualBreakCount="1">
        <brk id="64" min="1" max="39" man="1"/>
      </rowBreaks>
      <pageMargins left="0.25" right="0.25" top="0.5" bottom="0.25" header="0" footer="0.25"/>
      <printOptions horizontalCentered="1"/>
      <pageSetup scale="40" firstPageNumber="29" orientation="landscape" useFirstPageNumber="1" r:id="rId3"/>
      <headerFooter scaleWithDoc="0" alignWithMargins="0">
        <oddFooter>&amp;C&amp;8&amp;P</oddFooter>
      </headerFooter>
    </customSheetView>
    <customSheetView guid="{1DF171D7-3BFC-49F6-B708-0F91FCFAB6E2}"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4"/>
      <headerFooter scaleWithDoc="0" alignWithMargins="0">
        <oddFooter>&amp;C&amp;8&amp;P</oddFooter>
      </headerFooter>
    </customSheetView>
    <customSheetView guid="{9F00D83C-7F4F-41B5-9976-8610D9EBC976}"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5"/>
      <headerFooter scaleWithDoc="0" alignWithMargins="0">
        <oddFooter>&amp;C&amp;8&amp;P</oddFooter>
      </headerFooter>
    </customSheetView>
    <customSheetView guid="{D1467C25-646C-4F1A-9353-0E890E575522}" scale="90" showPageBreaks="1" showGridLines="0" printArea="1" topLeftCell="A30">
      <selection activeCell="I62" sqref="I62"/>
      <rowBreaks count="1" manualBreakCount="1">
        <brk id="64" min="1" max="39" man="1"/>
      </rowBreaks>
      <pageMargins left="0.25" right="0.25" top="0.5" bottom="0.25" header="0" footer="0.25"/>
      <printOptions horizontalCentered="1"/>
      <pageSetup scale="40" firstPageNumber="29" orientation="landscape" useFirstPageNumber="1" r:id="rId6"/>
      <headerFooter scaleWithDoc="0" alignWithMargins="0">
        <oddFooter>&amp;C&amp;8&amp;P</oddFooter>
      </headerFooter>
    </customSheetView>
    <customSheetView guid="{3A50DD26-AAF5-43D4-97DE-BAE3367A2F29}" scale="90" showPageBreaks="1" showGridLines="0" printArea="1" topLeftCell="O81">
      <selection activeCell="AI61" sqref="AI61"/>
      <rowBreaks count="1" manualBreakCount="1">
        <brk id="64" min="1" max="39" man="1"/>
      </rowBreaks>
      <pageMargins left="0.25" right="0.25" top="0.5" bottom="0.25" header="0" footer="0.25"/>
      <printOptions horizontalCentered="1"/>
      <pageSetup scale="40" firstPageNumber="29" orientation="landscape" useFirstPageNumber="1" r:id="rId7"/>
      <headerFooter scaleWithDoc="0" alignWithMargins="0">
        <oddFooter>&amp;C&amp;8&amp;P</oddFooter>
      </headerFooter>
    </customSheetView>
    <customSheetView guid="{C3636880-B45B-4897-94F2-F91976416934}" scale="90" showPageBreaks="1" showGridLines="0" printArea="1" topLeftCell="A48">
      <selection activeCell="B40" sqref="B40"/>
      <rowBreaks count="1" manualBreakCount="1">
        <brk id="64" min="1" max="39" man="1"/>
      </rowBreaks>
      <pageMargins left="0.25" right="0.25" top="0.5" bottom="0.25" header="0" footer="0.25"/>
      <printOptions horizontalCentered="1"/>
      <pageSetup scale="40" firstPageNumber="29" orientation="landscape" useFirstPageNumber="1" r:id="rId8"/>
      <headerFooter scaleWithDoc="0" alignWithMargins="0">
        <oddFooter>&amp;C&amp;8&amp;P</oddFooter>
      </headerFooter>
    </customSheetView>
  </customSheetViews>
  <mergeCells count="1">
    <mergeCell ref="AE9:AN9"/>
  </mergeCells>
  <printOptions horizontalCentered="1"/>
  <pageMargins left="0.25" right="0.25" top="0.5" bottom="0.25" header="0" footer="0.25"/>
  <pageSetup scale="39" firstPageNumber="29" orientation="landscape" useFirstPageNumber="1" r:id="rId9"/>
  <headerFooter scaleWithDoc="0" alignWithMargins="0">
    <oddFooter>&amp;C&amp;8&amp;P</oddFooter>
  </headerFooter>
  <rowBreaks count="1" manualBreakCount="1">
    <brk id="64" min="1" max="39" man="1"/>
  </rowBreaks>
  <customProperties>
    <customPr name="SheetOptions" r:id="rId10"/>
  </customProperties>
  <ignoredErrors>
    <ignoredError sqref="AN39 AN60:AN61 AN27 AN30 AN32:AN34 AN63:AN67 AN88:AN89 AN71 AN51 AN19 AN90:AN93 AN21:AN23 AN76:AN86 AN72" unlockedFormula="1"/>
    <ignoredError sqref="AN47 AN52 AN57:AN58 AN24"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zoomScaleNormal="100" workbookViewId="0"/>
  </sheetViews>
  <sheetFormatPr defaultColWidth="8.88671875" defaultRowHeight="15"/>
  <cols>
    <col min="1" max="1" width="2.5546875" style="23" customWidth="1"/>
    <col min="2" max="2" width="14.109375" style="23" customWidth="1"/>
    <col min="3" max="3" width="26.109375" style="23" customWidth="1"/>
    <col min="4" max="4" width="2"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1093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1.88671875" style="23" customWidth="1"/>
    <col min="31" max="32" width="1.109375" style="23" customWidth="1"/>
    <col min="33" max="33" width="11.88671875" style="23" customWidth="1"/>
    <col min="34" max="35" width="1.109375" style="23" customWidth="1"/>
    <col min="36" max="36" width="11.88671875" style="23" customWidth="1"/>
    <col min="37" max="37" width="1.109375" style="23" customWidth="1"/>
    <col min="38" max="38" width="11.88671875" style="23" customWidth="1"/>
    <col min="39" max="40" width="9.88671875" style="23" bestFit="1" customWidth="1"/>
    <col min="41" max="42" width="6.109375" style="23" customWidth="1"/>
    <col min="43" max="16384" width="8.88671875" style="23"/>
  </cols>
  <sheetData>
    <row r="1" spans="1:40">
      <c r="B1" s="284" t="s">
        <v>97</v>
      </c>
    </row>
    <row r="2" spans="1:40">
      <c r="B2" s="364"/>
    </row>
    <row r="3" spans="1:40" ht="19.5" customHeight="1">
      <c r="A3" s="84"/>
      <c r="B3" s="50" t="s">
        <v>98</v>
      </c>
      <c r="C3" s="85"/>
      <c r="D3" s="85"/>
      <c r="E3" s="85"/>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L3" s="106" t="s">
        <v>553</v>
      </c>
    </row>
    <row r="4" spans="1:40" ht="19.5" customHeight="1">
      <c r="A4" s="84"/>
      <c r="B4" s="50" t="s">
        <v>579</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0"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0" t="str">
        <f>'Cashflow Governmental'!A6</f>
        <v>FISCAL YEAR 2026-2027</v>
      </c>
      <c r="C6" s="85"/>
      <c r="D6" s="85"/>
      <c r="E6" s="85"/>
      <c r="F6" s="86"/>
      <c r="G6" s="86"/>
      <c r="H6" s="1132"/>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2"/>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5.75" customHeight="1">
      <c r="A8" s="84"/>
      <c r="B8" s="50"/>
      <c r="C8" s="85"/>
      <c r="D8" s="85"/>
      <c r="E8" s="1551"/>
      <c r="F8" s="86"/>
      <c r="G8" s="86"/>
      <c r="H8" s="86"/>
      <c r="I8" s="86"/>
      <c r="J8" s="86"/>
      <c r="K8" s="86"/>
      <c r="L8" s="86"/>
      <c r="M8" s="86"/>
      <c r="N8" s="86"/>
      <c r="O8" s="86"/>
      <c r="P8" s="86"/>
      <c r="Q8" s="86"/>
      <c r="R8" s="86"/>
      <c r="S8" s="86"/>
      <c r="T8" s="86"/>
      <c r="U8" s="86"/>
      <c r="V8" s="86"/>
      <c r="W8" s="86"/>
      <c r="X8" s="86"/>
      <c r="Y8" s="86"/>
      <c r="Z8" s="86"/>
      <c r="AA8" s="86"/>
      <c r="AB8" s="86"/>
      <c r="AC8" s="89"/>
    </row>
    <row r="9" spans="1:40" ht="15.75" customHeight="1">
      <c r="A9" s="84"/>
      <c r="B9" s="90"/>
      <c r="C9" s="85"/>
      <c r="D9" s="85"/>
      <c r="E9" s="1526"/>
      <c r="F9" s="86"/>
      <c r="G9" s="86"/>
      <c r="H9" s="86"/>
      <c r="I9" s="86"/>
      <c r="J9" s="86"/>
      <c r="K9" s="86"/>
      <c r="L9" s="86"/>
      <c r="M9" s="86"/>
      <c r="N9" s="86"/>
      <c r="O9" s="86"/>
      <c r="P9" s="86"/>
      <c r="Q9" s="86"/>
      <c r="R9" s="86"/>
      <c r="S9" s="86"/>
      <c r="T9" s="86"/>
      <c r="U9" s="86"/>
      <c r="V9" s="86"/>
      <c r="W9" s="86"/>
      <c r="X9" s="86"/>
      <c r="Y9" s="86"/>
      <c r="Z9" s="86"/>
      <c r="AA9" s="86"/>
      <c r="AB9" s="86"/>
      <c r="AC9" s="2065" t="str">
        <f>'Cashflow Governmental'!$AB$12</f>
        <v>3 Months Ended June 30</v>
      </c>
      <c r="AD9" s="2065"/>
      <c r="AE9" s="2065"/>
      <c r="AF9" s="2065"/>
      <c r="AG9" s="2065"/>
      <c r="AH9" s="2065"/>
      <c r="AI9" s="2065"/>
      <c r="AJ9" s="2065"/>
      <c r="AK9" s="2065"/>
      <c r="AL9" s="2065"/>
    </row>
    <row r="10" spans="1:40" ht="15.75" customHeight="1">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ht="15.75" customHeight="1">
      <c r="A11" s="291"/>
      <c r="B11" s="291"/>
      <c r="C11" s="291"/>
      <c r="D11" s="291"/>
      <c r="E11" s="1217" t="s">
        <v>329</v>
      </c>
      <c r="F11" s="3"/>
      <c r="G11" s="1217" t="s">
        <v>330</v>
      </c>
      <c r="H11" s="3"/>
      <c r="I11" s="1217" t="s">
        <v>331</v>
      </c>
      <c r="J11" s="3"/>
      <c r="K11" s="1217" t="s">
        <v>332</v>
      </c>
      <c r="L11" s="3"/>
      <c r="M11" s="1217" t="s">
        <v>333</v>
      </c>
      <c r="N11" s="3"/>
      <c r="O11" s="1217" t="s">
        <v>445</v>
      </c>
      <c r="P11" s="3"/>
      <c r="Q11" s="1217" t="s">
        <v>446</v>
      </c>
      <c r="R11" s="3"/>
      <c r="S11" s="1217" t="s">
        <v>336</v>
      </c>
      <c r="T11" s="3"/>
      <c r="U11" s="1217" t="s">
        <v>337</v>
      </c>
      <c r="V11" s="3"/>
      <c r="W11" s="1217" t="s">
        <v>338</v>
      </c>
      <c r="X11" s="3"/>
      <c r="Y11" s="1217" t="s">
        <v>339</v>
      </c>
      <c r="Z11" s="3"/>
      <c r="AA11" s="1217" t="s">
        <v>447</v>
      </c>
      <c r="AB11" s="3"/>
      <c r="AC11" s="3"/>
      <c r="AD11" s="1217" t="str">
        <f>'Cashflow Governmental'!AB14</f>
        <v>2026</v>
      </c>
      <c r="AE11" s="3"/>
      <c r="AF11" s="3"/>
      <c r="AG11" s="1217" t="str">
        <f>'Cashflow Governmental'!AE14</f>
        <v>2025</v>
      </c>
      <c r="AH11" s="52"/>
      <c r="AI11" s="52"/>
      <c r="AJ11" s="415" t="s">
        <v>112</v>
      </c>
      <c r="AK11" s="320"/>
      <c r="AL11" s="415"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c r="AJ12" s="291"/>
      <c r="AK12" s="291"/>
      <c r="AL12" s="291"/>
    </row>
    <row r="13" spans="1:40" ht="15.75">
      <c r="A13" s="291"/>
      <c r="B13" s="3" t="s">
        <v>523</v>
      </c>
      <c r="C13" s="3"/>
      <c r="D13" s="291"/>
      <c r="E13" s="82">
        <v>-2206.4</v>
      </c>
      <c r="F13" s="268"/>
      <c r="G13" s="20">
        <f>E100</f>
        <v>-2308.4</v>
      </c>
      <c r="H13" s="20"/>
      <c r="I13" s="20">
        <f>G100</f>
        <v>-2525</v>
      </c>
      <c r="J13" s="274"/>
      <c r="K13" s="20"/>
      <c r="L13" s="274"/>
      <c r="M13" s="20"/>
      <c r="N13" s="268"/>
      <c r="O13" s="20"/>
      <c r="P13" s="268"/>
      <c r="Q13" s="20"/>
      <c r="R13" s="20"/>
      <c r="S13" s="20"/>
      <c r="T13" s="20"/>
      <c r="U13" s="20"/>
      <c r="V13" s="20"/>
      <c r="W13" s="20"/>
      <c r="X13" s="20"/>
      <c r="Y13" s="20"/>
      <c r="Z13" s="20"/>
      <c r="AA13" s="20"/>
      <c r="AB13" s="268"/>
      <c r="AC13" s="667"/>
      <c r="AD13" s="20">
        <f>E13</f>
        <v>-2206.4</v>
      </c>
      <c r="AE13" s="268"/>
      <c r="AF13" s="1044"/>
      <c r="AG13" s="1943">
        <v>-1077.3</v>
      </c>
      <c r="AH13" s="268"/>
      <c r="AI13" s="92"/>
      <c r="AJ13" s="20">
        <f>ROUND(AD13-AG13,1)</f>
        <v>-1129.0999999999999</v>
      </c>
      <c r="AK13" s="76"/>
      <c r="AL13" s="281">
        <f>ROUND(IF(AG13=0,0,AJ13/ABS(AG13)),3)</f>
        <v>-1.048</v>
      </c>
      <c r="AM13" s="1627"/>
      <c r="AN13" s="1627"/>
    </row>
    <row r="14" spans="1:40" ht="15.75">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7"/>
      <c r="AD14" s="268"/>
      <c r="AE14" s="268"/>
      <c r="AF14" s="1044"/>
      <c r="AG14" s="268"/>
      <c r="AH14" s="268"/>
      <c r="AI14" s="92"/>
      <c r="AJ14" s="291"/>
      <c r="AK14" s="291"/>
      <c r="AL14" s="291"/>
      <c r="AM14" s="1627"/>
      <c r="AN14" s="1627"/>
    </row>
    <row r="15" spans="1:40" ht="15.75">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7"/>
      <c r="AD15" s="268"/>
      <c r="AE15" s="1242"/>
      <c r="AF15" s="268"/>
      <c r="AG15" s="268"/>
      <c r="AH15" s="268"/>
      <c r="AI15" s="92"/>
      <c r="AM15" s="1627"/>
      <c r="AN15" s="1627"/>
    </row>
    <row r="16" spans="1:40" ht="15.75">
      <c r="A16" s="291"/>
      <c r="B16" s="1216" t="s">
        <v>342</v>
      </c>
      <c r="C16" s="291"/>
      <c r="D16" s="291"/>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667"/>
      <c r="AD16" s="268"/>
      <c r="AE16" s="1242"/>
      <c r="AF16" s="268"/>
      <c r="AG16" s="268"/>
      <c r="AH16" s="268"/>
      <c r="AI16" s="92"/>
      <c r="AM16" s="1627"/>
      <c r="AN16" s="1627"/>
    </row>
    <row r="17" spans="1:40" ht="15.75">
      <c r="A17" s="291"/>
      <c r="B17" s="412" t="s">
        <v>580</v>
      </c>
      <c r="C17" s="291"/>
      <c r="D17" s="291"/>
      <c r="E17" s="1133"/>
      <c r="F17" s="268"/>
      <c r="G17" s="264"/>
      <c r="H17" s="264"/>
      <c r="I17" s="264"/>
      <c r="J17" s="264"/>
      <c r="K17" s="264"/>
      <c r="L17" s="264"/>
      <c r="M17" s="264"/>
      <c r="N17" s="264"/>
      <c r="O17" s="264"/>
      <c r="P17" s="264"/>
      <c r="Q17" s="264"/>
      <c r="R17" s="264"/>
      <c r="S17" s="264"/>
      <c r="T17" s="264"/>
      <c r="U17" s="264"/>
      <c r="V17" s="264"/>
      <c r="W17" s="264"/>
      <c r="X17" s="264"/>
      <c r="Y17" s="264"/>
      <c r="Z17" s="264"/>
      <c r="AA17" s="264"/>
      <c r="AB17" s="264"/>
      <c r="AC17" s="523"/>
      <c r="AD17" s="12" t="s">
        <v>103</v>
      </c>
      <c r="AE17" s="1232"/>
      <c r="AF17" s="264"/>
      <c r="AG17" s="264" t="s">
        <v>103</v>
      </c>
      <c r="AH17" s="264"/>
      <c r="AI17" s="98"/>
      <c r="AJ17" s="12"/>
      <c r="AM17" s="1627"/>
      <c r="AN17" s="1627"/>
    </row>
    <row r="18" spans="1:40">
      <c r="A18" s="291"/>
      <c r="B18" s="284" t="s">
        <v>356</v>
      </c>
      <c r="C18" s="291"/>
      <c r="D18" s="350" t="s">
        <v>103</v>
      </c>
      <c r="E18" s="264">
        <v>-0.3</v>
      </c>
      <c r="F18" s="264"/>
      <c r="G18" s="264">
        <v>0</v>
      </c>
      <c r="H18" s="264"/>
      <c r="I18" s="264">
        <f>$AD18-G18-E18</f>
        <v>23.8</v>
      </c>
      <c r="J18" s="264"/>
      <c r="K18" s="264"/>
      <c r="L18" s="553"/>
      <c r="M18" s="264"/>
      <c r="N18" s="606"/>
      <c r="O18" s="264"/>
      <c r="P18" s="606"/>
      <c r="Q18" s="264"/>
      <c r="R18" s="606"/>
      <c r="S18" s="264"/>
      <c r="T18" s="264"/>
      <c r="U18" s="264"/>
      <c r="V18" s="264"/>
      <c r="W18" s="264"/>
      <c r="X18" s="264"/>
      <c r="Y18" s="264"/>
      <c r="Z18" s="264"/>
      <c r="AA18" s="264"/>
      <c r="AB18" s="264"/>
      <c r="AC18" s="523"/>
      <c r="AD18" s="531">
        <v>23.5</v>
      </c>
      <c r="AE18" s="264"/>
      <c r="AF18" s="524" t="s">
        <v>103</v>
      </c>
      <c r="AG18" s="531">
        <v>28.6</v>
      </c>
      <c r="AH18" s="716"/>
      <c r="AI18" s="717"/>
      <c r="AJ18" s="264">
        <f>ROUND(AD18-AG18,1)</f>
        <v>-5.0999999999999996</v>
      </c>
      <c r="AK18" s="383"/>
      <c r="AL18" s="542">
        <f>ROUND(IF(AG18=0,0,AJ18/ABS(AG18)),3)</f>
        <v>-0.17799999999999999</v>
      </c>
      <c r="AM18" s="1627"/>
      <c r="AN18" s="1627"/>
    </row>
    <row r="19" spans="1:40" ht="15.75">
      <c r="A19" s="291"/>
      <c r="B19" s="284" t="s">
        <v>359</v>
      </c>
      <c r="C19" s="291"/>
      <c r="D19" s="291"/>
      <c r="E19" s="264">
        <v>29.1</v>
      </c>
      <c r="F19" s="264"/>
      <c r="G19" s="264">
        <v>32</v>
      </c>
      <c r="H19" s="264"/>
      <c r="I19" s="264">
        <f t="shared" ref="I19:I20" si="0">$AD19-G19-E19</f>
        <v>34.300000000000004</v>
      </c>
      <c r="J19" s="264"/>
      <c r="K19" s="264"/>
      <c r="L19" s="552"/>
      <c r="M19" s="264"/>
      <c r="N19" s="552"/>
      <c r="O19" s="264"/>
      <c r="P19" s="552"/>
      <c r="Q19" s="264"/>
      <c r="R19" s="552"/>
      <c r="S19" s="264"/>
      <c r="T19" s="264"/>
      <c r="U19" s="264"/>
      <c r="V19" s="552"/>
      <c r="W19" s="264"/>
      <c r="X19" s="552"/>
      <c r="Y19" s="264"/>
      <c r="Z19" s="552"/>
      <c r="AA19" s="264"/>
      <c r="AB19" s="264"/>
      <c r="AC19" s="523"/>
      <c r="AD19" s="531">
        <v>95.4</v>
      </c>
      <c r="AE19" s="264"/>
      <c r="AF19" s="524" t="s">
        <v>103</v>
      </c>
      <c r="AG19" s="531">
        <v>95.2</v>
      </c>
      <c r="AH19" s="264"/>
      <c r="AI19" s="98"/>
      <c r="AJ19" s="264">
        <f>ROUND(AD19-AG19,1)</f>
        <v>0.2</v>
      </c>
      <c r="AK19" s="41"/>
      <c r="AL19" s="266">
        <f>ROUND(IF(AG19=0,0,AJ19/ABS(AG19)),3)</f>
        <v>2E-3</v>
      </c>
      <c r="AM19" s="1627"/>
      <c r="AN19" s="1627"/>
    </row>
    <row r="20" spans="1:40" ht="15.75">
      <c r="A20" s="291"/>
      <c r="B20" s="284" t="s">
        <v>362</v>
      </c>
      <c r="C20" s="291"/>
      <c r="D20" s="291"/>
      <c r="E20" s="264">
        <v>13.4</v>
      </c>
      <c r="F20" s="264"/>
      <c r="G20" s="264">
        <v>8.9</v>
      </c>
      <c r="H20" s="264"/>
      <c r="I20" s="264">
        <f t="shared" si="0"/>
        <v>9.1</v>
      </c>
      <c r="J20" s="264"/>
      <c r="K20" s="264"/>
      <c r="L20" s="552"/>
      <c r="M20" s="264"/>
      <c r="N20" s="552"/>
      <c r="O20" s="264"/>
      <c r="P20" s="552"/>
      <c r="Q20" s="264"/>
      <c r="R20" s="552"/>
      <c r="S20" s="264"/>
      <c r="T20" s="264"/>
      <c r="U20" s="264"/>
      <c r="V20" s="552"/>
      <c r="W20" s="264"/>
      <c r="X20" s="552"/>
      <c r="Y20" s="264"/>
      <c r="Z20" s="552"/>
      <c r="AA20" s="264"/>
      <c r="AB20" s="264"/>
      <c r="AC20" s="523"/>
      <c r="AD20" s="531">
        <v>31.4</v>
      </c>
      <c r="AE20" s="264"/>
      <c r="AF20" s="524" t="s">
        <v>103</v>
      </c>
      <c r="AG20" s="531">
        <v>33.700000000000003</v>
      </c>
      <c r="AH20" s="264"/>
      <c r="AI20" s="98"/>
      <c r="AJ20" s="264">
        <f>ROUND(AD20-AG20,1)</f>
        <v>-2.2999999999999998</v>
      </c>
      <c r="AK20" s="41"/>
      <c r="AL20" s="542">
        <f>ROUND(IF(AG20=0,0,AJ20/ABS(AG20)),3)</f>
        <v>-6.8000000000000005E-2</v>
      </c>
      <c r="AM20" s="1627"/>
      <c r="AN20" s="1627"/>
    </row>
    <row r="21" spans="1:40" ht="15.75">
      <c r="A21" s="291"/>
      <c r="B21" s="83" t="s">
        <v>558</v>
      </c>
      <c r="C21" s="291"/>
      <c r="D21" s="291"/>
      <c r="E21" s="68">
        <f>ROUND(SUM(E18:E20),1)</f>
        <v>42.2</v>
      </c>
      <c r="F21" s="264"/>
      <c r="G21" s="68">
        <f>ROUND(SUM(G18:G20),1)</f>
        <v>40.9</v>
      </c>
      <c r="H21" s="264"/>
      <c r="I21" s="68">
        <f>ROUND(SUM(I18:I20),1)</f>
        <v>67.2</v>
      </c>
      <c r="J21" s="264"/>
      <c r="K21" s="68">
        <f>ROUND(SUM(K18:K20),1)</f>
        <v>0</v>
      </c>
      <c r="L21" s="264"/>
      <c r="M21" s="68">
        <f>ROUND(SUM(M18:M20),1)</f>
        <v>0</v>
      </c>
      <c r="N21" s="264"/>
      <c r="O21" s="68">
        <f>ROUND(SUM(O18:O20),1)</f>
        <v>0</v>
      </c>
      <c r="P21" s="264"/>
      <c r="Q21" s="68">
        <f>ROUND(SUM(Q18:Q20),1)</f>
        <v>0</v>
      </c>
      <c r="R21" s="264"/>
      <c r="S21" s="68">
        <f>ROUND(SUM(S18:S20),1)</f>
        <v>0</v>
      </c>
      <c r="T21" s="13"/>
      <c r="U21" s="68">
        <f>ROUND(SUM(U18:U20),1)</f>
        <v>0</v>
      </c>
      <c r="V21" s="264"/>
      <c r="W21" s="68">
        <f>ROUND(SUM(W18:W20),1)</f>
        <v>0</v>
      </c>
      <c r="X21" s="264"/>
      <c r="Y21" s="68">
        <f>ROUND(SUM(Y18:Y20),1)</f>
        <v>0</v>
      </c>
      <c r="Z21" s="264"/>
      <c r="AA21" s="68">
        <f>ROUND(SUM(AA18:AA20),1)</f>
        <v>0</v>
      </c>
      <c r="AB21" s="264"/>
      <c r="AC21" s="523"/>
      <c r="AD21" s="68">
        <f>ROUND(SUM(AD18:AD20),1)</f>
        <v>150.30000000000001</v>
      </c>
      <c r="AE21" s="1232"/>
      <c r="AF21" s="264"/>
      <c r="AG21" s="68">
        <f>ROUND(SUM(AG18:AG20),1)</f>
        <v>157.5</v>
      </c>
      <c r="AH21" s="264"/>
      <c r="AI21" s="98"/>
      <c r="AJ21" s="68">
        <f>ROUND(SUM(AJ18:AJ20),1)</f>
        <v>-7.2</v>
      </c>
      <c r="AK21" s="41"/>
      <c r="AL21" s="537">
        <f>ROUND(IF(AG21=0,0,AJ21/ABS(AG21)),3)</f>
        <v>-4.5999999999999999E-2</v>
      </c>
      <c r="AM21" s="1627"/>
      <c r="AN21" s="1627"/>
    </row>
    <row r="22" spans="1:40" ht="15.75">
      <c r="A22" s="291"/>
      <c r="B22" s="412" t="s">
        <v>524</v>
      </c>
      <c r="C22" s="291"/>
      <c r="D22" s="291"/>
      <c r="E22" s="264"/>
      <c r="F22" s="264"/>
      <c r="G22" s="264"/>
      <c r="H22" s="264"/>
      <c r="I22" s="264"/>
      <c r="J22" s="264"/>
      <c r="K22" s="264"/>
      <c r="L22" s="264"/>
      <c r="M22" s="264"/>
      <c r="N22" s="264"/>
      <c r="O22" s="264"/>
      <c r="P22" s="264"/>
      <c r="Q22" s="289"/>
      <c r="R22" s="264"/>
      <c r="S22" s="289"/>
      <c r="T22" s="264"/>
      <c r="U22" s="289"/>
      <c r="V22" s="264"/>
      <c r="W22" s="1134"/>
      <c r="X22" s="264"/>
      <c r="Y22" s="289"/>
      <c r="Z22" s="264"/>
      <c r="AA22" s="1134"/>
      <c r="AB22" s="264"/>
      <c r="AC22" s="523"/>
      <c r="AD22" s="287"/>
      <c r="AE22" s="1232"/>
      <c r="AF22" s="264"/>
      <c r="AG22" s="287"/>
      <c r="AH22" s="264"/>
      <c r="AI22" s="98"/>
      <c r="AJ22" s="287"/>
      <c r="AL22" s="96"/>
      <c r="AM22" s="1627"/>
      <c r="AN22" s="1627"/>
    </row>
    <row r="23" spans="1:40" ht="15.75">
      <c r="A23" s="291"/>
      <c r="B23" s="284" t="s">
        <v>367</v>
      </c>
      <c r="C23" s="291"/>
      <c r="D23" s="291"/>
      <c r="E23" s="264">
        <v>0</v>
      </c>
      <c r="F23" s="264"/>
      <c r="G23" s="264">
        <v>0</v>
      </c>
      <c r="H23" s="264"/>
      <c r="I23" s="264">
        <f>$AD23-G23-E23</f>
        <v>0</v>
      </c>
      <c r="J23" s="264"/>
      <c r="K23" s="264"/>
      <c r="L23" s="552"/>
      <c r="M23" s="264"/>
      <c r="N23" s="552"/>
      <c r="O23" s="264"/>
      <c r="P23" s="552"/>
      <c r="Q23" s="264"/>
      <c r="R23" s="552"/>
      <c r="S23" s="264"/>
      <c r="T23" s="264"/>
      <c r="U23" s="264"/>
      <c r="V23" s="552"/>
      <c r="W23" s="264"/>
      <c r="X23" s="552"/>
      <c r="Y23" s="264"/>
      <c r="Z23" s="552"/>
      <c r="AA23" s="264"/>
      <c r="AB23" s="264"/>
      <c r="AC23" s="523"/>
      <c r="AD23" s="531">
        <v>0</v>
      </c>
      <c r="AE23" s="264"/>
      <c r="AF23" s="524" t="s">
        <v>103</v>
      </c>
      <c r="AG23" s="531">
        <v>0</v>
      </c>
      <c r="AH23" s="264"/>
      <c r="AI23" s="98"/>
      <c r="AJ23" s="264">
        <f>ROUND(AD23-AG23,1)</f>
        <v>0</v>
      </c>
      <c r="AL23" s="266">
        <f>ROUND(IF(AG23=0,0,AJ23/ABS(AG23)),3)</f>
        <v>0</v>
      </c>
      <c r="AM23" s="1627"/>
      <c r="AN23" s="1627"/>
    </row>
    <row r="24" spans="1:40" ht="15.75">
      <c r="A24" s="291"/>
      <c r="B24" s="284" t="s">
        <v>368</v>
      </c>
      <c r="C24" s="291"/>
      <c r="D24" s="291"/>
      <c r="E24" s="264">
        <v>2</v>
      </c>
      <c r="F24" s="264"/>
      <c r="G24" s="264">
        <v>-0.10000000000000009</v>
      </c>
      <c r="H24" s="264"/>
      <c r="I24" s="264">
        <f t="shared" ref="I24:I25" si="1">$AD24-G24-E24</f>
        <v>0.90000000000000036</v>
      </c>
      <c r="J24" s="264"/>
      <c r="K24" s="264"/>
      <c r="L24" s="552"/>
      <c r="M24" s="264"/>
      <c r="N24" s="552"/>
      <c r="O24" s="264"/>
      <c r="P24" s="552"/>
      <c r="Q24" s="264"/>
      <c r="R24" s="552"/>
      <c r="S24" s="264"/>
      <c r="T24" s="264"/>
      <c r="U24" s="264"/>
      <c r="V24" s="552"/>
      <c r="W24" s="264"/>
      <c r="X24" s="552"/>
      <c r="Y24" s="264"/>
      <c r="Z24" s="552"/>
      <c r="AA24" s="264"/>
      <c r="AB24" s="264"/>
      <c r="AC24" s="523"/>
      <c r="AD24" s="531">
        <v>2.8000000000000003</v>
      </c>
      <c r="AE24" s="264"/>
      <c r="AF24" s="524" t="s">
        <v>103</v>
      </c>
      <c r="AG24" s="531">
        <v>5.0999999999999996</v>
      </c>
      <c r="AH24" s="264"/>
      <c r="AI24" s="98"/>
      <c r="AJ24" s="264">
        <f>ROUND(AD24-AG24,1)</f>
        <v>-2.2999999999999998</v>
      </c>
      <c r="AL24" s="542">
        <f>ROUND(IF(AG24=0,1,AJ24/ABS(AG24)),3)</f>
        <v>-0.45100000000000001</v>
      </c>
      <c r="AM24" s="1627"/>
      <c r="AN24" s="1627"/>
    </row>
    <row r="25" spans="1:40" ht="15.75">
      <c r="A25" s="291"/>
      <c r="B25" s="284" t="s">
        <v>372</v>
      </c>
      <c r="C25" s="3"/>
      <c r="D25" s="291"/>
      <c r="E25" s="264">
        <v>41.9</v>
      </c>
      <c r="F25" s="264"/>
      <c r="G25" s="264">
        <v>44.000000000000007</v>
      </c>
      <c r="H25" s="264"/>
      <c r="I25" s="264">
        <f t="shared" si="1"/>
        <v>50.199999999999996</v>
      </c>
      <c r="J25" s="264"/>
      <c r="K25" s="264"/>
      <c r="L25" s="552"/>
      <c r="M25" s="264"/>
      <c r="N25" s="552"/>
      <c r="O25" s="264"/>
      <c r="P25" s="552"/>
      <c r="Q25" s="264"/>
      <c r="R25" s="552"/>
      <c r="S25" s="264"/>
      <c r="T25" s="264"/>
      <c r="U25" s="264"/>
      <c r="V25" s="552"/>
      <c r="W25" s="264"/>
      <c r="X25" s="552"/>
      <c r="Y25" s="264"/>
      <c r="Z25" s="552"/>
      <c r="AA25" s="264"/>
      <c r="AB25" s="264"/>
      <c r="AC25" s="523"/>
      <c r="AD25" s="531">
        <v>136.1</v>
      </c>
      <c r="AE25" s="264"/>
      <c r="AF25" s="524" t="s">
        <v>103</v>
      </c>
      <c r="AG25" s="531">
        <v>144</v>
      </c>
      <c r="AH25" s="264"/>
      <c r="AI25" s="98"/>
      <c r="AJ25" s="264">
        <f>ROUND(AD25-AG25,1)</f>
        <v>-7.9</v>
      </c>
      <c r="AK25" s="41"/>
      <c r="AL25" s="533">
        <f>ROUND(IF(AG25=0,0,AJ25/ABS(AG25)),3)</f>
        <v>-5.5E-2</v>
      </c>
      <c r="AM25" s="1627"/>
      <c r="AN25" s="1627"/>
    </row>
    <row r="26" spans="1:40" ht="15.75">
      <c r="A26" s="291"/>
      <c r="B26" s="83" t="s">
        <v>559</v>
      </c>
      <c r="C26" s="3"/>
      <c r="D26" s="291"/>
      <c r="E26" s="68">
        <f>ROUND(SUM(E23:E25),1)</f>
        <v>43.9</v>
      </c>
      <c r="F26" s="264"/>
      <c r="G26" s="68">
        <f>ROUND(SUM(G23:G25),1)</f>
        <v>43.9</v>
      </c>
      <c r="H26" s="264"/>
      <c r="I26" s="68">
        <f>ROUND(SUM(I23:I25),1)</f>
        <v>51.1</v>
      </c>
      <c r="J26" s="264"/>
      <c r="K26" s="68">
        <f>ROUND(SUM(K23:K25),1)</f>
        <v>0</v>
      </c>
      <c r="L26" s="264"/>
      <c r="M26" s="68">
        <f>ROUND(SUM(M23:M25),1)</f>
        <v>0</v>
      </c>
      <c r="N26" s="264"/>
      <c r="O26" s="68">
        <f>ROUND(SUM(O23:O25),1)</f>
        <v>0</v>
      </c>
      <c r="P26" s="264"/>
      <c r="Q26" s="68">
        <f>ROUND(SUM(Q23:Q25),1)</f>
        <v>0</v>
      </c>
      <c r="R26" s="264"/>
      <c r="S26" s="68">
        <f>ROUND(SUM(S23:S25),1)</f>
        <v>0</v>
      </c>
      <c r="T26" s="13"/>
      <c r="U26" s="68">
        <f>ROUND(SUM(U23:U25),1)</f>
        <v>0</v>
      </c>
      <c r="V26" s="264"/>
      <c r="W26" s="68">
        <f>ROUND(SUM(W23:W25),1)</f>
        <v>0</v>
      </c>
      <c r="X26" s="264"/>
      <c r="Y26" s="68">
        <f>ROUND(SUM(Y23:Y25),1)</f>
        <v>0</v>
      </c>
      <c r="Z26" s="264"/>
      <c r="AA26" s="68">
        <f>ROUND(SUM(AA23:AA25),1)</f>
        <v>0</v>
      </c>
      <c r="AB26" s="264"/>
      <c r="AC26" s="523"/>
      <c r="AD26" s="68">
        <f>ROUND(SUM(AD23:AD25),1)</f>
        <v>138.9</v>
      </c>
      <c r="AE26" s="1232"/>
      <c r="AF26" s="264"/>
      <c r="AG26" s="68">
        <f>ROUND(SUM(AG23:AG25),1)</f>
        <v>149.1</v>
      </c>
      <c r="AH26" s="264"/>
      <c r="AI26" s="98"/>
      <c r="AJ26" s="68">
        <f>ROUND(SUM(AJ23:AJ25),1)</f>
        <v>-10.199999999999999</v>
      </c>
      <c r="AK26" s="41"/>
      <c r="AL26" s="538">
        <f>ROUND(IF(AG26=0,0,AJ26/ABS(AG26)),3)</f>
        <v>-6.8000000000000005E-2</v>
      </c>
      <c r="AM26" s="1627"/>
      <c r="AN26" s="1627"/>
    </row>
    <row r="27" spans="1:40" ht="15.75">
      <c r="A27" s="291"/>
      <c r="B27" s="412" t="s">
        <v>581</v>
      </c>
      <c r="C27" s="291"/>
      <c r="D27" s="291"/>
      <c r="E27" s="275"/>
      <c r="F27" s="264"/>
      <c r="G27" s="275"/>
      <c r="H27" s="264"/>
      <c r="I27" s="289"/>
      <c r="J27" s="264"/>
      <c r="K27" s="289"/>
      <c r="L27" s="264"/>
      <c r="M27" s="264"/>
      <c r="N27" s="264"/>
      <c r="O27" s="264"/>
      <c r="P27" s="264"/>
      <c r="Q27" s="289"/>
      <c r="R27" s="264"/>
      <c r="S27" s="289"/>
      <c r="T27" s="264"/>
      <c r="U27" s="289"/>
      <c r="V27" s="264"/>
      <c r="W27" s="289"/>
      <c r="X27" s="264"/>
      <c r="Y27" s="289"/>
      <c r="Z27" s="264"/>
      <c r="AA27" s="289"/>
      <c r="AB27" s="264"/>
      <c r="AC27" s="523"/>
      <c r="AD27" s="264"/>
      <c r="AE27" s="1243"/>
      <c r="AF27" s="367"/>
      <c r="AG27" s="264"/>
      <c r="AH27" s="287"/>
      <c r="AI27" s="97"/>
      <c r="AJ27" s="287"/>
      <c r="AK27" s="95"/>
      <c r="AL27" s="266"/>
      <c r="AM27" s="1627"/>
      <c r="AN27" s="1627"/>
    </row>
    <row r="28" spans="1:40" ht="15.75">
      <c r="A28" s="291"/>
      <c r="B28" s="284" t="s">
        <v>378</v>
      </c>
      <c r="C28" s="291"/>
      <c r="D28" s="291"/>
      <c r="E28" s="264">
        <v>0</v>
      </c>
      <c r="F28" s="264"/>
      <c r="G28" s="264">
        <v>0</v>
      </c>
      <c r="H28" s="264"/>
      <c r="I28" s="264">
        <f>$AD28-G28-E28</f>
        <v>25.7</v>
      </c>
      <c r="J28" s="264"/>
      <c r="K28" s="264"/>
      <c r="L28" s="552"/>
      <c r="M28" s="264"/>
      <c r="N28" s="552"/>
      <c r="O28" s="264"/>
      <c r="P28" s="552"/>
      <c r="Q28" s="264"/>
      <c r="R28" s="552"/>
      <c r="S28" s="264"/>
      <c r="T28" s="552"/>
      <c r="U28" s="264"/>
      <c r="V28" s="552"/>
      <c r="W28" s="264"/>
      <c r="X28" s="552"/>
      <c r="Y28" s="264"/>
      <c r="Z28" s="552"/>
      <c r="AA28" s="264"/>
      <c r="AB28" s="264"/>
      <c r="AC28" s="523"/>
      <c r="AD28" s="531">
        <v>25.7</v>
      </c>
      <c r="AE28" s="264">
        <f>'Exhibit F'!AG1123</f>
        <v>0</v>
      </c>
      <c r="AF28" s="524" t="s">
        <v>103</v>
      </c>
      <c r="AG28" s="531">
        <v>25.7</v>
      </c>
      <c r="AH28" s="287"/>
      <c r="AI28" s="97"/>
      <c r="AJ28" s="264">
        <f>ROUND(AD28-AG28,1)</f>
        <v>0</v>
      </c>
      <c r="AK28" s="95"/>
      <c r="AL28" s="533">
        <f>ROUND(IF(AG28=0,0,AJ28/ABS(AG28)),3)</f>
        <v>0</v>
      </c>
      <c r="AM28" s="1627"/>
      <c r="AN28" s="1627"/>
    </row>
    <row r="29" spans="1:40" ht="15.75">
      <c r="B29" s="83" t="s">
        <v>560</v>
      </c>
      <c r="C29" s="291"/>
      <c r="D29" s="291"/>
      <c r="E29" s="68">
        <f>ROUND(SUM(E28:E28),1)</f>
        <v>0</v>
      </c>
      <c r="F29" s="264"/>
      <c r="G29" s="68">
        <f>ROUND(SUM(G28:G28),1)</f>
        <v>0</v>
      </c>
      <c r="H29" s="264"/>
      <c r="I29" s="68">
        <f>ROUND(SUM(I28:I28),1)</f>
        <v>25.7</v>
      </c>
      <c r="J29" s="264"/>
      <c r="K29" s="68">
        <f>ROUND(SUM(K28:K28),1)</f>
        <v>0</v>
      </c>
      <c r="L29" s="264"/>
      <c r="M29" s="68">
        <f>ROUND(SUM(M28:M28),1)</f>
        <v>0</v>
      </c>
      <c r="N29" s="264"/>
      <c r="O29" s="68">
        <f>ROUND(SUM(O28:O28),1)</f>
        <v>0</v>
      </c>
      <c r="P29" s="264"/>
      <c r="Q29" s="68">
        <f>ROUND(SUM(Q28:Q28),1)</f>
        <v>0</v>
      </c>
      <c r="R29" s="264"/>
      <c r="S29" s="68">
        <f>ROUND(SUM(S28:S28),1)</f>
        <v>0</v>
      </c>
      <c r="T29" s="13"/>
      <c r="U29" s="68">
        <f>ROUND(SUM(U28:U28),1)</f>
        <v>0</v>
      </c>
      <c r="V29" s="264"/>
      <c r="W29" s="68">
        <f>ROUND(SUM(W28:W28),1)</f>
        <v>0</v>
      </c>
      <c r="X29" s="264"/>
      <c r="Y29" s="68">
        <f>ROUND(SUM(Y28:Y28),1)</f>
        <v>0</v>
      </c>
      <c r="Z29" s="264"/>
      <c r="AA29" s="68">
        <f>ROUND(SUM(AA28:AA28),1)</f>
        <v>0</v>
      </c>
      <c r="AB29" s="264"/>
      <c r="AC29" s="523"/>
      <c r="AD29" s="68">
        <f>ROUND(SUM(AD28:AD28),1)</f>
        <v>25.7</v>
      </c>
      <c r="AE29" s="1243"/>
      <c r="AF29" s="367"/>
      <c r="AG29" s="68">
        <f>ROUND(SUM(AG28:AG28),1)</f>
        <v>25.7</v>
      </c>
      <c r="AH29" s="287"/>
      <c r="AI29" s="97"/>
      <c r="AJ29" s="68">
        <f>ROUND(SUM(AJ28:AJ28),1)</f>
        <v>0</v>
      </c>
      <c r="AK29" s="95"/>
      <c r="AL29" s="537">
        <f>ROUND(IF(AG29=0,0,AJ29/ABS(AG29)),3)</f>
        <v>0</v>
      </c>
      <c r="AM29" s="1627"/>
      <c r="AN29" s="1627"/>
    </row>
    <row r="30" spans="1:40" ht="15.75">
      <c r="A30" s="291"/>
      <c r="B30" s="3"/>
      <c r="C30" s="291"/>
      <c r="D30" s="291"/>
      <c r="E30" s="275"/>
      <c r="F30" s="264"/>
      <c r="G30" s="275"/>
      <c r="H30" s="264"/>
      <c r="I30" s="289"/>
      <c r="J30" s="264"/>
      <c r="K30" s="289"/>
      <c r="L30" s="264"/>
      <c r="M30" s="264"/>
      <c r="N30" s="264"/>
      <c r="O30" s="264"/>
      <c r="P30" s="264"/>
      <c r="Q30" s="289"/>
      <c r="R30" s="264"/>
      <c r="S30" s="289"/>
      <c r="T30" s="264"/>
      <c r="U30" s="289"/>
      <c r="V30" s="264"/>
      <c r="W30" s="289"/>
      <c r="X30" s="264"/>
      <c r="Y30" s="289"/>
      <c r="Z30" s="264"/>
      <c r="AA30" s="289"/>
      <c r="AB30" s="264"/>
      <c r="AC30" s="523"/>
      <c r="AD30" s="264"/>
      <c r="AE30" s="1243"/>
      <c r="AF30" s="367"/>
      <c r="AG30" s="264"/>
      <c r="AH30" s="287"/>
      <c r="AI30" s="97"/>
      <c r="AJ30" s="287"/>
      <c r="AK30" s="95"/>
      <c r="AL30" s="1773"/>
      <c r="AM30" s="1627"/>
      <c r="AN30" s="1627"/>
    </row>
    <row r="31" spans="1:40" s="3" customFormat="1" ht="15.75">
      <c r="B31" s="83" t="s">
        <v>382</v>
      </c>
      <c r="E31" s="708">
        <f>ROUND(SUM(+E26+E21+E29),1)</f>
        <v>86.1</v>
      </c>
      <c r="F31" s="13"/>
      <c r="G31" s="708">
        <f>ROUND(SUM(+G26+G21+G29),1)</f>
        <v>84.8</v>
      </c>
      <c r="H31" s="13"/>
      <c r="I31" s="708">
        <f>ROUND(SUM(+I26+I21+I29),1)</f>
        <v>144</v>
      </c>
      <c r="J31" s="13"/>
      <c r="K31" s="708">
        <f>ROUND(SUM(+K26+K21+K29),1)</f>
        <v>0</v>
      </c>
      <c r="L31" s="13"/>
      <c r="M31" s="1018">
        <f>ROUND(SUM(+M26+M21+M29),1)</f>
        <v>0</v>
      </c>
      <c r="N31" s="13"/>
      <c r="O31" s="1018">
        <f>ROUND(SUM(+O26+O21+O29),1)</f>
        <v>0</v>
      </c>
      <c r="P31" s="13"/>
      <c r="Q31" s="1018">
        <f>ROUND(SUM(+Q26+Q21+Q29),1)</f>
        <v>0</v>
      </c>
      <c r="R31" s="13"/>
      <c r="S31" s="1018">
        <f>ROUND(SUM(+S26+S21+S29),1)</f>
        <v>0</v>
      </c>
      <c r="T31" s="670"/>
      <c r="U31" s="1018">
        <f>ROUND(SUM(+U26+U21+U29),1)</f>
        <v>0</v>
      </c>
      <c r="V31" s="13"/>
      <c r="W31" s="1018">
        <f>ROUND(SUM(+W26+W21+W29),1)</f>
        <v>0</v>
      </c>
      <c r="X31" s="13"/>
      <c r="Y31" s="1018">
        <f>ROUND(SUM(+Y26+Y21+Y29),1)</f>
        <v>0</v>
      </c>
      <c r="Z31" s="13"/>
      <c r="AA31" s="1018">
        <f>ROUND(SUM(+AA26+AA21+AA29),1)</f>
        <v>0</v>
      </c>
      <c r="AB31" s="13"/>
      <c r="AC31" s="14"/>
      <c r="AD31" s="1018">
        <f>ROUND(SUM(+AD26+AD21+AD29),1)</f>
        <v>314.89999999999998</v>
      </c>
      <c r="AE31" s="1774"/>
      <c r="AF31" s="17"/>
      <c r="AG31" s="1018">
        <f>ROUND(SUM(+AG26+AG21+AG29),1)</f>
        <v>332.3</v>
      </c>
      <c r="AH31" s="18"/>
      <c r="AI31" s="97"/>
      <c r="AJ31" s="1018">
        <f>ROUND(SUM(+AJ26+AJ21+AJ29),1)</f>
        <v>-17.399999999999999</v>
      </c>
      <c r="AK31" s="319"/>
      <c r="AL31" s="538">
        <f>ROUND(IF(AG31=0,1,AJ31/ABS(AG31)),3)</f>
        <v>-5.1999999999999998E-2</v>
      </c>
      <c r="AM31" s="1627"/>
      <c r="AN31" s="1627"/>
    </row>
    <row r="32" spans="1:40" ht="15.75">
      <c r="A32" s="291"/>
      <c r="B32" s="291"/>
      <c r="C32" s="291"/>
      <c r="D32" s="291"/>
      <c r="E32" s="275"/>
      <c r="F32" s="264"/>
      <c r="G32" s="275"/>
      <c r="H32" s="264"/>
      <c r="I32" s="289"/>
      <c r="J32" s="264"/>
      <c r="K32" s="289"/>
      <c r="L32" s="264"/>
      <c r="M32" s="264"/>
      <c r="N32" s="264"/>
      <c r="O32" s="264"/>
      <c r="P32" s="264"/>
      <c r="Q32" s="289"/>
      <c r="R32" s="264"/>
      <c r="S32" s="289"/>
      <c r="T32" s="264"/>
      <c r="U32" s="289"/>
      <c r="V32" s="264"/>
      <c r="W32" s="289"/>
      <c r="X32" s="264"/>
      <c r="Y32" s="289"/>
      <c r="Z32" s="264"/>
      <c r="AA32" s="289"/>
      <c r="AB32" s="264"/>
      <c r="AC32" s="523"/>
      <c r="AD32" s="264"/>
      <c r="AE32" s="1243"/>
      <c r="AF32" s="367"/>
      <c r="AG32" s="264"/>
      <c r="AH32" s="287"/>
      <c r="AI32" s="97"/>
      <c r="AJ32" s="287"/>
      <c r="AK32" s="95"/>
      <c r="AL32" s="266"/>
      <c r="AM32" s="1627"/>
      <c r="AN32" s="1627"/>
    </row>
    <row r="33" spans="1:40" ht="15.75">
      <c r="A33" s="291"/>
      <c r="B33" s="1216" t="s">
        <v>383</v>
      </c>
      <c r="C33" s="291"/>
      <c r="D33" s="291"/>
      <c r="E33" s="289"/>
      <c r="F33" s="264"/>
      <c r="G33" s="289"/>
      <c r="H33" s="264"/>
      <c r="I33" s="289"/>
      <c r="J33" s="264"/>
      <c r="K33" s="289"/>
      <c r="L33" s="264"/>
      <c r="M33" s="264"/>
      <c r="N33" s="264"/>
      <c r="O33" s="264"/>
      <c r="P33" s="264"/>
      <c r="Q33" s="289"/>
      <c r="R33" s="264"/>
      <c r="S33" s="289"/>
      <c r="T33" s="264"/>
      <c r="U33" s="289"/>
      <c r="V33" s="264"/>
      <c r="W33" s="289"/>
      <c r="X33" s="264"/>
      <c r="Y33" s="289"/>
      <c r="Z33" s="264"/>
      <c r="AA33" s="289"/>
      <c r="AB33" s="264"/>
      <c r="AC33" s="523"/>
      <c r="AD33" s="264"/>
      <c r="AE33" s="1232"/>
      <c r="AF33" s="264"/>
      <c r="AG33" s="264"/>
      <c r="AH33" s="287"/>
      <c r="AI33" s="97"/>
      <c r="AJ33" s="287"/>
      <c r="AK33" s="41"/>
      <c r="AL33" s="96"/>
      <c r="AM33" s="1627"/>
      <c r="AN33" s="1627"/>
    </row>
    <row r="34" spans="1:40" ht="15.75">
      <c r="A34" s="291"/>
      <c r="B34" s="350" t="s">
        <v>384</v>
      </c>
      <c r="C34" s="291"/>
      <c r="D34" s="291"/>
      <c r="E34" s="289"/>
      <c r="F34" s="264"/>
      <c r="G34" s="289"/>
      <c r="H34" s="264"/>
      <c r="I34" s="289"/>
      <c r="J34" s="264"/>
      <c r="K34" s="289"/>
      <c r="L34" s="264"/>
      <c r="M34" s="264"/>
      <c r="N34" s="264"/>
      <c r="O34" s="264"/>
      <c r="P34" s="264"/>
      <c r="Q34" s="289"/>
      <c r="R34" s="264"/>
      <c r="S34" s="289"/>
      <c r="T34" s="264"/>
      <c r="U34" s="289"/>
      <c r="V34" s="264"/>
      <c r="W34" s="289"/>
      <c r="X34" s="264"/>
      <c r="Y34" s="289"/>
      <c r="Z34" s="264"/>
      <c r="AA34" s="289"/>
      <c r="AB34" s="264"/>
      <c r="AC34" s="523"/>
      <c r="AD34" s="264"/>
      <c r="AE34" s="1232"/>
      <c r="AF34" s="264"/>
      <c r="AG34" s="264"/>
      <c r="AH34" s="287"/>
      <c r="AI34" s="97"/>
      <c r="AJ34" s="287"/>
      <c r="AK34" s="41"/>
      <c r="AL34" s="96"/>
      <c r="AM34" s="1627"/>
      <c r="AN34" s="1627"/>
    </row>
    <row r="35" spans="1:40" ht="15.75">
      <c r="A35" s="291"/>
      <c r="B35" s="350" t="s">
        <v>1474</v>
      </c>
      <c r="C35" s="291"/>
      <c r="D35" s="291"/>
      <c r="E35" s="264">
        <v>0</v>
      </c>
      <c r="F35" s="264"/>
      <c r="G35" s="264">
        <v>0</v>
      </c>
      <c r="H35" s="264"/>
      <c r="I35" s="264">
        <f>$AD35-G35-E35</f>
        <v>0</v>
      </c>
      <c r="J35" s="264"/>
      <c r="K35" s="264"/>
      <c r="L35" s="552"/>
      <c r="M35" s="264"/>
      <c r="N35" s="552"/>
      <c r="O35" s="264"/>
      <c r="P35" s="552"/>
      <c r="Q35" s="264"/>
      <c r="R35" s="552"/>
      <c r="S35" s="264"/>
      <c r="T35" s="552"/>
      <c r="U35" s="264"/>
      <c r="V35" s="552"/>
      <c r="W35" s="264"/>
      <c r="X35" s="552"/>
      <c r="Y35" s="264"/>
      <c r="Z35" s="552"/>
      <c r="AA35" s="264"/>
      <c r="AB35" s="264"/>
      <c r="AC35" s="523"/>
      <c r="AD35" s="531">
        <v>0</v>
      </c>
      <c r="AE35" s="264"/>
      <c r="AF35" s="524" t="s">
        <v>103</v>
      </c>
      <c r="AG35" s="531">
        <v>0</v>
      </c>
      <c r="AH35" s="287"/>
      <c r="AI35" s="97"/>
      <c r="AJ35" s="264">
        <f t="shared" ref="AJ35" si="2">ROUND(AD35-AG35,1)</f>
        <v>0</v>
      </c>
      <c r="AK35" s="41"/>
      <c r="AL35" s="266">
        <f>ROUND(IF(AG35=0,0,AJ35/ABS(AG35)),3)</f>
        <v>0</v>
      </c>
      <c r="AM35" s="1627"/>
      <c r="AN35" s="1627"/>
    </row>
    <row r="36" spans="1:40" ht="15.75">
      <c r="A36" s="291"/>
      <c r="B36" s="350" t="s">
        <v>561</v>
      </c>
      <c r="C36" s="291"/>
      <c r="D36" s="291"/>
      <c r="E36" s="264">
        <v>0</v>
      </c>
      <c r="F36" s="264"/>
      <c r="G36" s="264">
        <v>0</v>
      </c>
      <c r="H36" s="264"/>
      <c r="I36" s="264">
        <f t="shared" ref="I36:I59" si="3">$AD36-G36-E36</f>
        <v>23</v>
      </c>
      <c r="J36" s="264"/>
      <c r="K36" s="264"/>
      <c r="L36" s="552"/>
      <c r="M36" s="264"/>
      <c r="N36" s="552"/>
      <c r="O36" s="264"/>
      <c r="P36" s="552"/>
      <c r="Q36" s="264"/>
      <c r="R36" s="552"/>
      <c r="S36" s="264"/>
      <c r="T36" s="552"/>
      <c r="U36" s="264"/>
      <c r="V36" s="552"/>
      <c r="W36" s="264"/>
      <c r="X36" s="552"/>
      <c r="Y36" s="264"/>
      <c r="Z36" s="552"/>
      <c r="AA36" s="264"/>
      <c r="AB36" s="264"/>
      <c r="AC36" s="523"/>
      <c r="AD36" s="531">
        <v>23</v>
      </c>
      <c r="AE36" s="264"/>
      <c r="AF36" s="524" t="s">
        <v>103</v>
      </c>
      <c r="AG36" s="531">
        <v>23</v>
      </c>
      <c r="AH36" s="287"/>
      <c r="AI36" s="97"/>
      <c r="AJ36" s="264">
        <f t="shared" ref="AJ36:AJ59" si="4">ROUND(AD36-AG36,1)</f>
        <v>0</v>
      </c>
      <c r="AK36" s="41"/>
      <c r="AL36" s="266">
        <f>ROUND(IF(AG36=0,0,AJ36/ABS(AG36)),3)</f>
        <v>0</v>
      </c>
      <c r="AM36" s="1627"/>
      <c r="AN36" s="1627"/>
    </row>
    <row r="37" spans="1:40" ht="15.75">
      <c r="A37" s="291"/>
      <c r="B37" s="350" t="s">
        <v>387</v>
      </c>
      <c r="C37" s="291"/>
      <c r="D37" s="291"/>
      <c r="E37" s="264"/>
      <c r="F37" s="264"/>
      <c r="G37" s="264"/>
      <c r="H37" s="264"/>
      <c r="I37" s="264"/>
      <c r="J37" s="264"/>
      <c r="K37" s="264"/>
      <c r="L37" s="552"/>
      <c r="M37" s="264"/>
      <c r="N37" s="552"/>
      <c r="O37" s="264"/>
      <c r="P37" s="552"/>
      <c r="Q37" s="264"/>
      <c r="R37" s="552"/>
      <c r="S37" s="264"/>
      <c r="T37" s="552"/>
      <c r="U37" s="264"/>
      <c r="V37" s="552"/>
      <c r="W37" s="264"/>
      <c r="X37" s="552"/>
      <c r="Y37" s="264"/>
      <c r="Z37" s="552"/>
      <c r="AA37" s="264"/>
      <c r="AB37" s="264"/>
      <c r="AC37" s="523"/>
      <c r="AD37" s="289" t="s">
        <v>103</v>
      </c>
      <c r="AE37" s="1232"/>
      <c r="AF37" s="264"/>
      <c r="AG37" s="289" t="s">
        <v>103</v>
      </c>
      <c r="AH37" s="287"/>
      <c r="AI37" s="97"/>
      <c r="AJ37" s="264"/>
      <c r="AK37" s="41"/>
      <c r="AL37" s="96"/>
      <c r="AM37" s="1627"/>
      <c r="AN37" s="1627"/>
    </row>
    <row r="38" spans="1:40" ht="15.75">
      <c r="A38" s="291"/>
      <c r="B38" s="350" t="s">
        <v>483</v>
      </c>
      <c r="C38" s="291"/>
      <c r="D38" s="291"/>
      <c r="E38" s="264">
        <v>1.9</v>
      </c>
      <c r="F38" s="264"/>
      <c r="G38" s="264">
        <v>5.5</v>
      </c>
      <c r="H38" s="264"/>
      <c r="I38" s="264">
        <f t="shared" si="3"/>
        <v>3.1999999999999997</v>
      </c>
      <c r="J38" s="264"/>
      <c r="K38" s="264"/>
      <c r="L38" s="552"/>
      <c r="M38" s="264"/>
      <c r="N38" s="552"/>
      <c r="O38" s="264"/>
      <c r="P38" s="552"/>
      <c r="Q38" s="264"/>
      <c r="R38" s="552"/>
      <c r="S38" s="264"/>
      <c r="T38" s="552"/>
      <c r="U38" s="264"/>
      <c r="V38" s="552"/>
      <c r="W38" s="264"/>
      <c r="X38" s="552"/>
      <c r="Y38" s="264"/>
      <c r="Z38" s="552"/>
      <c r="AA38" s="264"/>
      <c r="AB38" s="264"/>
      <c r="AC38" s="523"/>
      <c r="AD38" s="531">
        <v>10.6</v>
      </c>
      <c r="AE38" s="264"/>
      <c r="AF38" s="524" t="s">
        <v>103</v>
      </c>
      <c r="AG38" s="531">
        <v>16.5</v>
      </c>
      <c r="AH38" s="287"/>
      <c r="AI38" s="97"/>
      <c r="AJ38" s="264">
        <f t="shared" si="4"/>
        <v>-5.9</v>
      </c>
      <c r="AK38" s="41"/>
      <c r="AL38" s="266">
        <f>ROUND(IF(AG38=0,0,AJ38/ABS(AG38)),3)</f>
        <v>-0.35799999999999998</v>
      </c>
      <c r="AM38" s="1627"/>
      <c r="AN38" s="1627"/>
    </row>
    <row r="39" spans="1:40" ht="15.75">
      <c r="A39" s="291"/>
      <c r="B39" s="350" t="s">
        <v>392</v>
      </c>
      <c r="C39" s="291"/>
      <c r="D39" s="291"/>
      <c r="E39" s="264"/>
      <c r="F39" s="264"/>
      <c r="G39" s="264"/>
      <c r="H39" s="264"/>
      <c r="I39" s="264"/>
      <c r="J39" s="264"/>
      <c r="K39" s="264"/>
      <c r="L39" s="552"/>
      <c r="M39" s="264"/>
      <c r="N39" s="552"/>
      <c r="O39" s="264"/>
      <c r="P39" s="552"/>
      <c r="Q39" s="264"/>
      <c r="R39" s="552"/>
      <c r="S39" s="264"/>
      <c r="T39" s="552"/>
      <c r="U39" s="264"/>
      <c r="V39" s="552"/>
      <c r="W39" s="264"/>
      <c r="X39" s="552"/>
      <c r="Y39" s="264"/>
      <c r="Z39" s="552"/>
      <c r="AA39" s="264"/>
      <c r="AB39" s="264"/>
      <c r="AC39" s="523"/>
      <c r="AD39" s="289" t="s">
        <v>103</v>
      </c>
      <c r="AE39" s="1232"/>
      <c r="AF39" s="264"/>
      <c r="AG39" s="289" t="s">
        <v>103</v>
      </c>
      <c r="AH39" s="287"/>
      <c r="AI39" s="97"/>
      <c r="AJ39" s="264"/>
      <c r="AK39" s="41"/>
      <c r="AL39" s="96"/>
      <c r="AM39" s="1627"/>
      <c r="AN39" s="1627"/>
    </row>
    <row r="40" spans="1:40" ht="15.75">
      <c r="A40" s="291"/>
      <c r="B40" s="350" t="s">
        <v>486</v>
      </c>
      <c r="C40" s="291"/>
      <c r="D40" s="291"/>
      <c r="E40" s="264">
        <v>1.5</v>
      </c>
      <c r="F40" s="264"/>
      <c r="G40" s="264">
        <v>8.7999999999999989</v>
      </c>
      <c r="H40" s="264"/>
      <c r="I40" s="264">
        <f t="shared" si="3"/>
        <v>0.80000000000000071</v>
      </c>
      <c r="J40" s="264"/>
      <c r="K40" s="264"/>
      <c r="L40" s="552"/>
      <c r="M40" s="264"/>
      <c r="N40" s="552"/>
      <c r="O40" s="264"/>
      <c r="P40" s="552"/>
      <c r="Q40" s="264"/>
      <c r="R40" s="552"/>
      <c r="S40" s="264"/>
      <c r="T40" s="552"/>
      <c r="U40" s="264"/>
      <c r="V40" s="552"/>
      <c r="W40" s="264"/>
      <c r="X40" s="552"/>
      <c r="Y40" s="264"/>
      <c r="Z40" s="552"/>
      <c r="AA40" s="264"/>
      <c r="AB40" s="264"/>
      <c r="AC40" s="523"/>
      <c r="AD40" s="531">
        <v>11.1</v>
      </c>
      <c r="AE40" s="264"/>
      <c r="AF40" s="524" t="s">
        <v>103</v>
      </c>
      <c r="AG40" s="531">
        <v>4</v>
      </c>
      <c r="AH40" s="287"/>
      <c r="AI40" s="97"/>
      <c r="AJ40" s="264">
        <f t="shared" si="4"/>
        <v>7.1</v>
      </c>
      <c r="AK40" s="41"/>
      <c r="AL40" s="266">
        <f>ROUND(IF(AG40=0,0,AJ40/ABS(AG40)),3)</f>
        <v>1.7749999999999999</v>
      </c>
      <c r="AM40" s="1627"/>
      <c r="AN40" s="1627"/>
    </row>
    <row r="41" spans="1:40" ht="15.75">
      <c r="A41" s="291"/>
      <c r="B41" s="350" t="s">
        <v>562</v>
      </c>
      <c r="C41" s="291"/>
      <c r="D41" s="291"/>
      <c r="E41" s="264">
        <v>0</v>
      </c>
      <c r="F41" s="264"/>
      <c r="G41" s="264">
        <v>0</v>
      </c>
      <c r="H41" s="264"/>
      <c r="I41" s="264">
        <f t="shared" si="3"/>
        <v>0</v>
      </c>
      <c r="J41" s="264"/>
      <c r="K41" s="264"/>
      <c r="L41" s="552"/>
      <c r="M41" s="264"/>
      <c r="N41" s="552"/>
      <c r="O41" s="264"/>
      <c r="P41" s="552"/>
      <c r="Q41" s="264"/>
      <c r="R41" s="552"/>
      <c r="S41" s="264"/>
      <c r="T41" s="552"/>
      <c r="U41" s="264"/>
      <c r="V41" s="552"/>
      <c r="W41" s="264"/>
      <c r="X41" s="552"/>
      <c r="Y41" s="264"/>
      <c r="Z41" s="552"/>
      <c r="AA41" s="264"/>
      <c r="AB41" s="264"/>
      <c r="AC41" s="523"/>
      <c r="AD41" s="531">
        <v>0</v>
      </c>
      <c r="AE41" s="264"/>
      <c r="AF41" s="524" t="s">
        <v>103</v>
      </c>
      <c r="AG41" s="531">
        <v>0</v>
      </c>
      <c r="AH41" s="287"/>
      <c r="AI41" s="97"/>
      <c r="AJ41" s="264">
        <f>ROUND(AD41-AG41,1)</f>
        <v>0</v>
      </c>
      <c r="AK41" s="41"/>
      <c r="AL41" s="266">
        <f>ROUND(IF(AG41=0,0,AJ41/ABS(AG41)),3)</f>
        <v>0</v>
      </c>
      <c r="AM41" s="1627"/>
      <c r="AN41" s="1627"/>
    </row>
    <row r="42" spans="1:40" ht="15.75">
      <c r="A42" s="291"/>
      <c r="B42" s="350" t="s">
        <v>489</v>
      </c>
      <c r="C42" s="291"/>
      <c r="D42" s="291"/>
      <c r="E42" s="264">
        <v>9.8000000000000007</v>
      </c>
      <c r="F42" s="264"/>
      <c r="G42" s="264">
        <v>66.400000000000006</v>
      </c>
      <c r="H42" s="264"/>
      <c r="I42" s="264">
        <f t="shared" si="3"/>
        <v>64.499999999999986</v>
      </c>
      <c r="J42" s="264"/>
      <c r="K42" s="264"/>
      <c r="L42" s="552"/>
      <c r="M42" s="264"/>
      <c r="N42" s="552"/>
      <c r="O42" s="264"/>
      <c r="P42" s="552"/>
      <c r="Q42" s="264"/>
      <c r="R42" s="552"/>
      <c r="S42" s="264"/>
      <c r="T42" s="552"/>
      <c r="U42" s="264"/>
      <c r="V42" s="552"/>
      <c r="W42" s="264"/>
      <c r="X42" s="552"/>
      <c r="Y42" s="264"/>
      <c r="Z42" s="552"/>
      <c r="AA42" s="264"/>
      <c r="AB42" s="264"/>
      <c r="AC42" s="523"/>
      <c r="AD42" s="531">
        <v>140.69999999999999</v>
      </c>
      <c r="AE42" s="264"/>
      <c r="AF42" s="524" t="s">
        <v>103</v>
      </c>
      <c r="AG42" s="531">
        <v>189.1</v>
      </c>
      <c r="AH42" s="287"/>
      <c r="AI42" s="97"/>
      <c r="AJ42" s="264">
        <f t="shared" si="4"/>
        <v>-48.4</v>
      </c>
      <c r="AK42" s="41"/>
      <c r="AL42" s="266">
        <f>ROUND(IF(AG42=0,0,AJ42/ABS(AG42)),3)</f>
        <v>-0.25600000000000001</v>
      </c>
      <c r="AM42" s="1627"/>
      <c r="AN42" s="1627"/>
    </row>
    <row r="43" spans="1:40" ht="15.75">
      <c r="A43" s="291"/>
      <c r="B43" s="350" t="s">
        <v>490</v>
      </c>
      <c r="C43" s="291"/>
      <c r="D43" s="291"/>
      <c r="E43" s="264">
        <v>0.4</v>
      </c>
      <c r="F43" s="264"/>
      <c r="G43" s="264">
        <v>0.4</v>
      </c>
      <c r="H43" s="264"/>
      <c r="I43" s="264">
        <f t="shared" si="3"/>
        <v>1.4000000000000004</v>
      </c>
      <c r="J43" s="264"/>
      <c r="K43" s="264"/>
      <c r="L43" s="552"/>
      <c r="M43" s="264"/>
      <c r="N43" s="552"/>
      <c r="O43" s="264"/>
      <c r="P43" s="552"/>
      <c r="Q43" s="264"/>
      <c r="R43" s="552"/>
      <c r="S43" s="264"/>
      <c r="T43" s="552"/>
      <c r="U43" s="264"/>
      <c r="V43" s="552"/>
      <c r="W43" s="264"/>
      <c r="X43" s="552"/>
      <c r="Y43" s="264"/>
      <c r="Z43" s="552"/>
      <c r="AA43" s="264"/>
      <c r="AB43" s="264"/>
      <c r="AC43" s="523"/>
      <c r="AD43" s="531">
        <v>2.2000000000000002</v>
      </c>
      <c r="AE43" s="264"/>
      <c r="AF43" s="524" t="s">
        <v>103</v>
      </c>
      <c r="AG43" s="531">
        <v>9.3000000000000007</v>
      </c>
      <c r="AH43" s="287"/>
      <c r="AI43" s="97"/>
      <c r="AJ43" s="264">
        <f t="shared" si="4"/>
        <v>-7.1</v>
      </c>
      <c r="AK43" s="41"/>
      <c r="AL43" s="542">
        <f>ROUND(IF(AG43=0,1,AJ43/ABS(AG43)),3)</f>
        <v>-0.76300000000000001</v>
      </c>
      <c r="AM43" s="1627"/>
      <c r="AN43" s="1627"/>
    </row>
    <row r="44" spans="1:40" ht="15.75">
      <c r="A44" s="291"/>
      <c r="B44" s="350" t="s">
        <v>400</v>
      </c>
      <c r="C44" s="291"/>
      <c r="D44" s="291"/>
      <c r="E44" s="264">
        <v>5.6</v>
      </c>
      <c r="F44" s="264"/>
      <c r="G44" s="264">
        <v>1</v>
      </c>
      <c r="H44" s="264"/>
      <c r="I44" s="264">
        <f t="shared" si="3"/>
        <v>1.3000000000000007</v>
      </c>
      <c r="J44" s="264"/>
      <c r="K44" s="264"/>
      <c r="L44" s="552"/>
      <c r="M44" s="264"/>
      <c r="N44" s="552"/>
      <c r="O44" s="264"/>
      <c r="P44" s="552"/>
      <c r="Q44" s="264"/>
      <c r="R44" s="552"/>
      <c r="S44" s="264"/>
      <c r="T44" s="552"/>
      <c r="U44" s="264"/>
      <c r="V44" s="552"/>
      <c r="W44" s="264"/>
      <c r="X44" s="552"/>
      <c r="Y44" s="264"/>
      <c r="Z44" s="552"/>
      <c r="AA44" s="264"/>
      <c r="AB44" s="264"/>
      <c r="AC44" s="523"/>
      <c r="AD44" s="531">
        <v>7.9</v>
      </c>
      <c r="AE44" s="1232"/>
      <c r="AF44" s="264" t="s">
        <v>103</v>
      </c>
      <c r="AG44" s="531">
        <v>7</v>
      </c>
      <c r="AH44" s="287"/>
      <c r="AI44" s="97"/>
      <c r="AJ44" s="264">
        <f t="shared" si="4"/>
        <v>0.9</v>
      </c>
      <c r="AK44" s="41"/>
      <c r="AL44" s="542">
        <f>ROUND(IF(AG44=0,1,AJ44/ABS(AG44)),3)</f>
        <v>0.129</v>
      </c>
      <c r="AM44" s="1627"/>
      <c r="AN44" s="1627"/>
    </row>
    <row r="45" spans="1:40" ht="15.75">
      <c r="A45" s="291"/>
      <c r="B45" s="350" t="s">
        <v>406</v>
      </c>
      <c r="C45" s="291"/>
      <c r="D45" s="291"/>
      <c r="E45" s="264">
        <v>4.0999999999999996</v>
      </c>
      <c r="F45" s="264"/>
      <c r="G45" s="264">
        <v>4.0999999999999996</v>
      </c>
      <c r="H45" s="264"/>
      <c r="I45" s="264">
        <f t="shared" si="3"/>
        <v>4.4000000000000004</v>
      </c>
      <c r="J45" s="264"/>
      <c r="K45" s="264"/>
      <c r="L45" s="552"/>
      <c r="M45" s="264"/>
      <c r="N45" s="552"/>
      <c r="O45" s="264"/>
      <c r="P45" s="552"/>
      <c r="Q45" s="264"/>
      <c r="R45" s="552"/>
      <c r="S45" s="264"/>
      <c r="T45" s="552"/>
      <c r="U45" s="264"/>
      <c r="V45" s="552"/>
      <c r="W45" s="264"/>
      <c r="X45" s="552"/>
      <c r="Y45" s="264"/>
      <c r="Z45" s="552"/>
      <c r="AA45" s="264"/>
      <c r="AB45" s="264"/>
      <c r="AC45" s="523"/>
      <c r="AD45" s="531">
        <v>12.6</v>
      </c>
      <c r="AE45" s="1232"/>
      <c r="AF45" s="264" t="s">
        <v>103</v>
      </c>
      <c r="AG45" s="531">
        <v>11.7</v>
      </c>
      <c r="AH45" s="287"/>
      <c r="AI45" s="97"/>
      <c r="AJ45" s="264">
        <f t="shared" si="4"/>
        <v>0.9</v>
      </c>
      <c r="AK45" s="41"/>
      <c r="AL45" s="542">
        <f>ROUND(IF(AG45=0,1,AJ45/ABS(AG45)),3)</f>
        <v>7.6999999999999999E-2</v>
      </c>
      <c r="AM45" s="1627"/>
      <c r="AN45" s="1627"/>
    </row>
    <row r="46" spans="1:40" ht="15.75">
      <c r="A46" s="291"/>
      <c r="B46" s="350" t="s">
        <v>407</v>
      </c>
      <c r="C46" s="291"/>
      <c r="D46" s="291"/>
      <c r="E46" s="264">
        <v>0</v>
      </c>
      <c r="F46" s="264"/>
      <c r="G46" s="264">
        <v>0</v>
      </c>
      <c r="H46" s="264"/>
      <c r="I46" s="264">
        <f t="shared" si="3"/>
        <v>0</v>
      </c>
      <c r="J46" s="264"/>
      <c r="K46" s="264"/>
      <c r="L46" s="552"/>
      <c r="M46" s="264"/>
      <c r="N46" s="552"/>
      <c r="O46" s="264"/>
      <c r="P46" s="552"/>
      <c r="Q46" s="264"/>
      <c r="R46" s="552"/>
      <c r="S46" s="264"/>
      <c r="T46" s="552"/>
      <c r="U46" s="264"/>
      <c r="V46" s="552"/>
      <c r="W46" s="264"/>
      <c r="X46" s="552"/>
      <c r="Y46" s="264"/>
      <c r="Z46" s="552"/>
      <c r="AA46" s="264"/>
      <c r="AB46" s="264"/>
      <c r="AC46" s="523"/>
      <c r="AD46" s="531">
        <v>0</v>
      </c>
      <c r="AE46" s="264"/>
      <c r="AF46" s="524" t="s">
        <v>103</v>
      </c>
      <c r="AG46" s="531">
        <v>0</v>
      </c>
      <c r="AH46" s="287"/>
      <c r="AI46" s="97"/>
      <c r="AJ46" s="264">
        <f>ROUND(AD46-AG46,1)</f>
        <v>0</v>
      </c>
      <c r="AK46" s="41"/>
      <c r="AL46" s="542">
        <f>ROUND(IF(AG46=0,0,AJ46/ABS(AG46)),3)</f>
        <v>0</v>
      </c>
      <c r="AM46" s="1627"/>
      <c r="AN46" s="1627"/>
    </row>
    <row r="47" spans="1:40" ht="15.75">
      <c r="A47" s="291"/>
      <c r="B47" s="350" t="s">
        <v>408</v>
      </c>
      <c r="C47" s="291"/>
      <c r="D47" s="291"/>
      <c r="E47" s="264"/>
      <c r="F47" s="264"/>
      <c r="G47" s="264"/>
      <c r="H47" s="264"/>
      <c r="I47" s="264"/>
      <c r="J47" s="264"/>
      <c r="K47" s="264"/>
      <c r="L47" s="552"/>
      <c r="M47" s="264"/>
      <c r="N47" s="552"/>
      <c r="O47" s="264"/>
      <c r="P47" s="552"/>
      <c r="Q47" s="264"/>
      <c r="R47" s="552"/>
      <c r="S47" s="264"/>
      <c r="T47" s="552"/>
      <c r="U47" s="264"/>
      <c r="V47" s="552"/>
      <c r="W47" s="264"/>
      <c r="X47" s="552"/>
      <c r="Y47" s="264"/>
      <c r="Z47" s="552"/>
      <c r="AA47" s="264"/>
      <c r="AB47" s="264"/>
      <c r="AC47" s="523"/>
      <c r="AD47" s="289" t="s">
        <v>103</v>
      </c>
      <c r="AE47" s="1232"/>
      <c r="AF47" s="264"/>
      <c r="AG47" s="289" t="s">
        <v>103</v>
      </c>
      <c r="AH47" s="287"/>
      <c r="AI47" s="97"/>
      <c r="AJ47" s="264"/>
      <c r="AK47" s="41"/>
      <c r="AL47" s="96"/>
      <c r="AM47" s="1627"/>
      <c r="AN47" s="1627"/>
    </row>
    <row r="48" spans="1:40" ht="15.75">
      <c r="A48" s="291"/>
      <c r="B48" s="350" t="s">
        <v>494</v>
      </c>
      <c r="C48" s="291"/>
      <c r="D48" s="291"/>
      <c r="E48" s="264">
        <v>3.8000000000000003</v>
      </c>
      <c r="F48" s="264"/>
      <c r="G48" s="264">
        <v>0.69999999999999973</v>
      </c>
      <c r="H48" s="264"/>
      <c r="I48" s="264">
        <f t="shared" si="3"/>
        <v>2220.1</v>
      </c>
      <c r="J48" s="264"/>
      <c r="K48" s="264"/>
      <c r="L48" s="552"/>
      <c r="M48" s="264"/>
      <c r="N48" s="552"/>
      <c r="O48" s="264"/>
      <c r="P48" s="552"/>
      <c r="Q48" s="264"/>
      <c r="R48" s="552"/>
      <c r="S48" s="264"/>
      <c r="T48" s="552"/>
      <c r="U48" s="264"/>
      <c r="V48" s="552"/>
      <c r="W48" s="264"/>
      <c r="X48" s="552"/>
      <c r="Y48" s="264"/>
      <c r="Z48" s="552"/>
      <c r="AA48" s="264"/>
      <c r="AB48" s="264"/>
      <c r="AC48" s="523"/>
      <c r="AD48" s="531">
        <v>2224.6</v>
      </c>
      <c r="AE48" s="264"/>
      <c r="AF48" s="524"/>
      <c r="AG48" s="531">
        <v>101.4</v>
      </c>
      <c r="AH48" s="287"/>
      <c r="AI48" s="97"/>
      <c r="AJ48" s="264">
        <f t="shared" si="4"/>
        <v>2123.1999999999998</v>
      </c>
      <c r="AK48" s="41"/>
      <c r="AL48" s="1072">
        <f>ROUND(IF(AG48=0,1,AJ48/ABS(AG48)),3)</f>
        <v>20.939</v>
      </c>
      <c r="AM48" s="1627"/>
      <c r="AN48" s="1627"/>
    </row>
    <row r="49" spans="1:40" s="372" customFormat="1" ht="15.75">
      <c r="B49" s="350" t="s">
        <v>496</v>
      </c>
      <c r="C49" s="291"/>
      <c r="D49" s="291"/>
      <c r="E49" s="264">
        <v>0</v>
      </c>
      <c r="F49" s="289"/>
      <c r="G49" s="264">
        <v>0</v>
      </c>
      <c r="H49" s="289"/>
      <c r="I49" s="264">
        <f t="shared" si="3"/>
        <v>0</v>
      </c>
      <c r="J49" s="289"/>
      <c r="K49" s="264"/>
      <c r="L49" s="552"/>
      <c r="M49" s="264"/>
      <c r="N49" s="552"/>
      <c r="O49" s="264"/>
      <c r="P49" s="552"/>
      <c r="Q49" s="264"/>
      <c r="R49" s="552"/>
      <c r="S49" s="264"/>
      <c r="T49" s="552"/>
      <c r="U49" s="264"/>
      <c r="V49" s="552"/>
      <c r="W49" s="264"/>
      <c r="X49" s="552"/>
      <c r="Y49" s="264"/>
      <c r="Z49" s="552"/>
      <c r="AA49" s="264"/>
      <c r="AB49" s="264"/>
      <c r="AC49" s="523"/>
      <c r="AD49" s="531">
        <v>0</v>
      </c>
      <c r="AE49" s="264"/>
      <c r="AF49" s="524" t="s">
        <v>103</v>
      </c>
      <c r="AG49" s="531">
        <v>0</v>
      </c>
      <c r="AH49" s="287"/>
      <c r="AI49" s="97"/>
      <c r="AJ49" s="264">
        <f t="shared" si="4"/>
        <v>0</v>
      </c>
      <c r="AK49" s="268"/>
      <c r="AL49" s="266">
        <f>ROUND(IF(AG49=0,0,AJ49/ABS(AG49)),3)</f>
        <v>0</v>
      </c>
      <c r="AM49" s="1627"/>
      <c r="AN49" s="1627"/>
    </row>
    <row r="50" spans="1:40" ht="15.75">
      <c r="A50" s="291"/>
      <c r="B50" s="350" t="s">
        <v>497</v>
      </c>
      <c r="C50" s="291"/>
      <c r="D50" s="291"/>
      <c r="E50" s="264">
        <v>0.2</v>
      </c>
      <c r="F50" s="264"/>
      <c r="G50" s="264">
        <v>0</v>
      </c>
      <c r="H50" s="264"/>
      <c r="I50" s="264">
        <f t="shared" si="3"/>
        <v>61.699999999999996</v>
      </c>
      <c r="J50" s="264"/>
      <c r="K50" s="264"/>
      <c r="L50" s="552"/>
      <c r="M50" s="264"/>
      <c r="N50" s="552"/>
      <c r="O50" s="264"/>
      <c r="P50" s="552"/>
      <c r="Q50" s="264"/>
      <c r="R50" s="552"/>
      <c r="S50" s="264"/>
      <c r="T50" s="552"/>
      <c r="U50" s="264"/>
      <c r="V50" s="552"/>
      <c r="W50" s="264"/>
      <c r="X50" s="552"/>
      <c r="Y50" s="264"/>
      <c r="Z50" s="552"/>
      <c r="AA50" s="264"/>
      <c r="AB50" s="264"/>
      <c r="AC50" s="523"/>
      <c r="AD50" s="531">
        <v>61.9</v>
      </c>
      <c r="AE50" s="264"/>
      <c r="AF50" s="524" t="s">
        <v>103</v>
      </c>
      <c r="AG50" s="531">
        <v>12.3</v>
      </c>
      <c r="AH50" s="287"/>
      <c r="AI50" s="97"/>
      <c r="AJ50" s="264">
        <f t="shared" si="4"/>
        <v>49.6</v>
      </c>
      <c r="AK50" s="41"/>
      <c r="AL50" s="542">
        <f>ROUND(IF(AG50=0,1,AJ50/ABS(AG50)),3)</f>
        <v>4.0330000000000004</v>
      </c>
      <c r="AM50" s="1627"/>
      <c r="AN50" s="1627"/>
    </row>
    <row r="51" spans="1:40" ht="15.75">
      <c r="A51" s="291"/>
      <c r="B51" s="350" t="s">
        <v>413</v>
      </c>
      <c r="C51" s="291"/>
      <c r="D51" s="291"/>
      <c r="E51" s="264">
        <v>0.8</v>
      </c>
      <c r="F51" s="264"/>
      <c r="G51" s="264">
        <v>1.4999999999999998</v>
      </c>
      <c r="H51" s="264"/>
      <c r="I51" s="264">
        <f t="shared" si="3"/>
        <v>0.80000000000000027</v>
      </c>
      <c r="J51" s="264"/>
      <c r="K51" s="264"/>
      <c r="L51" s="552"/>
      <c r="M51" s="264"/>
      <c r="N51" s="552"/>
      <c r="O51" s="264"/>
      <c r="P51" s="552"/>
      <c r="Q51" s="264"/>
      <c r="R51" s="552"/>
      <c r="S51" s="264"/>
      <c r="T51" s="552"/>
      <c r="U51" s="264"/>
      <c r="V51" s="552"/>
      <c r="W51" s="264"/>
      <c r="X51" s="552"/>
      <c r="Y51" s="264"/>
      <c r="Z51" s="552"/>
      <c r="AA51" s="264"/>
      <c r="AB51" s="264"/>
      <c r="AC51" s="523"/>
      <c r="AD51" s="531">
        <v>3.1</v>
      </c>
      <c r="AE51" s="264"/>
      <c r="AF51" s="524" t="s">
        <v>103</v>
      </c>
      <c r="AG51" s="531">
        <v>3.8</v>
      </c>
      <c r="AH51" s="287"/>
      <c r="AI51" s="97"/>
      <c r="AJ51" s="264">
        <f t="shared" si="4"/>
        <v>-0.7</v>
      </c>
      <c r="AK51" s="41"/>
      <c r="AL51" s="266">
        <f>ROUND(IF(AG51=0,0,AJ51/ABS(AG51)),3)</f>
        <v>-0.184</v>
      </c>
      <c r="AM51" s="1627"/>
      <c r="AN51" s="1627"/>
    </row>
    <row r="52" spans="1:40" ht="15.75">
      <c r="A52" s="291"/>
      <c r="B52" s="350" t="s">
        <v>414</v>
      </c>
      <c r="C52" s="291"/>
      <c r="D52" s="291"/>
      <c r="E52" s="264"/>
      <c r="F52" s="264"/>
      <c r="G52" s="264"/>
      <c r="H52" s="264"/>
      <c r="I52" s="264"/>
      <c r="J52" s="264"/>
      <c r="K52" s="264"/>
      <c r="L52" s="552"/>
      <c r="M52" s="264"/>
      <c r="N52" s="552"/>
      <c r="O52" s="264"/>
      <c r="P52" s="552"/>
      <c r="Q52" s="264"/>
      <c r="R52" s="552"/>
      <c r="S52" s="264"/>
      <c r="T52" s="552"/>
      <c r="U52" s="264"/>
      <c r="V52" s="552"/>
      <c r="W52" s="264"/>
      <c r="X52" s="552"/>
      <c r="Y52" s="264"/>
      <c r="Z52" s="552"/>
      <c r="AA52" s="264"/>
      <c r="AB52" s="264"/>
      <c r="AC52" s="523"/>
      <c r="AD52" s="289" t="s">
        <v>103</v>
      </c>
      <c r="AE52" s="1232"/>
      <c r="AF52" s="264"/>
      <c r="AG52" s="289" t="s">
        <v>103</v>
      </c>
      <c r="AH52" s="287"/>
      <c r="AI52" s="97"/>
      <c r="AJ52" s="264"/>
      <c r="AK52" s="41"/>
      <c r="AL52" s="96"/>
      <c r="AM52" s="1627"/>
      <c r="AN52" s="1627"/>
    </row>
    <row r="53" spans="1:40" ht="15.75">
      <c r="A53" s="291"/>
      <c r="B53" s="350" t="s">
        <v>498</v>
      </c>
      <c r="C53" s="291"/>
      <c r="D53" s="291"/>
      <c r="E53" s="264">
        <v>0</v>
      </c>
      <c r="F53" s="289"/>
      <c r="G53" s="264">
        <v>0</v>
      </c>
      <c r="H53" s="264"/>
      <c r="I53" s="264">
        <f t="shared" si="3"/>
        <v>0</v>
      </c>
      <c r="J53" s="264"/>
      <c r="K53" s="264"/>
      <c r="L53" s="552"/>
      <c r="M53" s="264"/>
      <c r="N53" s="552"/>
      <c r="O53" s="264"/>
      <c r="P53" s="552"/>
      <c r="Q53" s="264"/>
      <c r="R53" s="552"/>
      <c r="S53" s="264"/>
      <c r="T53" s="552"/>
      <c r="U53" s="264"/>
      <c r="V53" s="552"/>
      <c r="W53" s="264"/>
      <c r="X53" s="552"/>
      <c r="Y53" s="264"/>
      <c r="Z53" s="552"/>
      <c r="AA53" s="264"/>
      <c r="AB53" s="264"/>
      <c r="AC53" s="523"/>
      <c r="AD53" s="531">
        <v>0</v>
      </c>
      <c r="AE53" s="264"/>
      <c r="AF53" s="524" t="s">
        <v>103</v>
      </c>
      <c r="AG53" s="531">
        <v>0</v>
      </c>
      <c r="AH53" s="287"/>
      <c r="AI53" s="97"/>
      <c r="AJ53" s="264">
        <f t="shared" si="4"/>
        <v>0</v>
      </c>
      <c r="AK53" s="41"/>
      <c r="AL53" s="266">
        <f>ROUND(IF(AG53=0,0,AJ53/ABS(AG53)),3)</f>
        <v>0</v>
      </c>
      <c r="AM53" s="1627"/>
      <c r="AN53" s="1627"/>
    </row>
    <row r="54" spans="1:40" ht="15.75">
      <c r="A54" s="291"/>
      <c r="B54" s="350" t="s">
        <v>500</v>
      </c>
      <c r="C54" s="291"/>
      <c r="D54" s="291"/>
      <c r="E54" s="264">
        <v>0.1</v>
      </c>
      <c r="F54" s="289"/>
      <c r="G54" s="264">
        <v>0.1</v>
      </c>
      <c r="H54" s="264"/>
      <c r="I54" s="264">
        <f t="shared" si="3"/>
        <v>0.30000000000000004</v>
      </c>
      <c r="J54" s="264"/>
      <c r="K54" s="264"/>
      <c r="L54" s="552"/>
      <c r="M54" s="264"/>
      <c r="N54" s="552"/>
      <c r="O54" s="264"/>
      <c r="P54" s="552"/>
      <c r="Q54" s="264"/>
      <c r="R54" s="552"/>
      <c r="S54" s="264"/>
      <c r="T54" s="552"/>
      <c r="U54" s="264"/>
      <c r="V54" s="552"/>
      <c r="W54" s="264"/>
      <c r="X54" s="552"/>
      <c r="Y54" s="264"/>
      <c r="Z54" s="552"/>
      <c r="AA54" s="264"/>
      <c r="AB54" s="264"/>
      <c r="AC54" s="523"/>
      <c r="AD54" s="531">
        <v>0.5</v>
      </c>
      <c r="AE54" s="264"/>
      <c r="AF54" s="524" t="s">
        <v>103</v>
      </c>
      <c r="AG54" s="531">
        <v>13.3</v>
      </c>
      <c r="AH54" s="287"/>
      <c r="AI54" s="97"/>
      <c r="AJ54" s="264">
        <f t="shared" si="4"/>
        <v>-12.8</v>
      </c>
      <c r="AK54" s="41"/>
      <c r="AL54" s="266">
        <f>ROUND(IF(AG54=0,0,AJ54/ABS(AG54)),3)</f>
        <v>-0.96199999999999997</v>
      </c>
      <c r="AM54" s="1627"/>
      <c r="AN54" s="1627"/>
    </row>
    <row r="55" spans="1:40" ht="15.75">
      <c r="A55" s="291"/>
      <c r="B55" s="350" t="s">
        <v>501</v>
      </c>
      <c r="C55" s="291"/>
      <c r="D55" s="291"/>
      <c r="E55" s="264">
        <v>9.5</v>
      </c>
      <c r="F55" s="289"/>
      <c r="G55" s="264">
        <v>1.6999999999999993</v>
      </c>
      <c r="H55" s="264"/>
      <c r="I55" s="264">
        <f t="shared" si="3"/>
        <v>21.000000000000004</v>
      </c>
      <c r="J55" s="264"/>
      <c r="K55" s="264"/>
      <c r="L55" s="552"/>
      <c r="M55" s="264"/>
      <c r="N55" s="552"/>
      <c r="O55" s="264"/>
      <c r="P55" s="552"/>
      <c r="Q55" s="264"/>
      <c r="R55" s="552"/>
      <c r="S55" s="264"/>
      <c r="T55" s="552"/>
      <c r="U55" s="264"/>
      <c r="V55" s="552"/>
      <c r="W55" s="264"/>
      <c r="X55" s="552"/>
      <c r="Y55" s="264"/>
      <c r="Z55" s="552"/>
      <c r="AA55" s="264"/>
      <c r="AB55" s="264"/>
      <c r="AC55" s="523"/>
      <c r="AD55" s="531">
        <v>32.200000000000003</v>
      </c>
      <c r="AE55" s="264"/>
      <c r="AF55" s="524" t="s">
        <v>103</v>
      </c>
      <c r="AG55" s="531">
        <v>17.3</v>
      </c>
      <c r="AH55" s="287"/>
      <c r="AI55" s="97"/>
      <c r="AJ55" s="264">
        <f t="shared" si="4"/>
        <v>14.9</v>
      </c>
      <c r="AK55" s="41"/>
      <c r="AL55" s="266">
        <f>ROUND(IF(AG55=0,1,AJ55/ABS(AG55)),3)</f>
        <v>0.86099999999999999</v>
      </c>
      <c r="AM55" s="1627"/>
      <c r="AN55" s="1627"/>
    </row>
    <row r="56" spans="1:40" ht="15.75">
      <c r="A56" s="291"/>
      <c r="B56" s="350" t="s">
        <v>503</v>
      </c>
      <c r="C56" s="291"/>
      <c r="D56" s="291"/>
      <c r="E56" s="264">
        <v>0</v>
      </c>
      <c r="F56" s="289"/>
      <c r="G56" s="264">
        <v>0.1</v>
      </c>
      <c r="H56" s="264"/>
      <c r="I56" s="264">
        <f t="shared" si="3"/>
        <v>0</v>
      </c>
      <c r="J56" s="264"/>
      <c r="K56" s="264"/>
      <c r="L56" s="552"/>
      <c r="M56" s="264"/>
      <c r="N56" s="552"/>
      <c r="O56" s="264"/>
      <c r="P56" s="552"/>
      <c r="Q56" s="264"/>
      <c r="R56" s="552"/>
      <c r="S56" s="264"/>
      <c r="T56" s="552"/>
      <c r="U56" s="264"/>
      <c r="V56" s="552"/>
      <c r="W56" s="264"/>
      <c r="X56" s="552"/>
      <c r="Y56" s="264"/>
      <c r="Z56" s="552"/>
      <c r="AA56" s="264"/>
      <c r="AB56" s="264"/>
      <c r="AC56" s="523"/>
      <c r="AD56" s="531">
        <v>0.1</v>
      </c>
      <c r="AE56" s="264"/>
      <c r="AF56" s="524" t="s">
        <v>103</v>
      </c>
      <c r="AG56" s="531">
        <v>0</v>
      </c>
      <c r="AH56" s="287"/>
      <c r="AI56" s="97"/>
      <c r="AJ56" s="264">
        <f>ROUND(AD56-AG56,1)</f>
        <v>0.1</v>
      </c>
      <c r="AK56" s="41"/>
      <c r="AL56" s="266">
        <f>ROUND(IF(AG56=0,1,AJ56/ABS(AG56)),3)</f>
        <v>1</v>
      </c>
      <c r="AM56" s="1627"/>
      <c r="AN56" s="1627"/>
    </row>
    <row r="57" spans="1:40" ht="15.75">
      <c r="A57" s="291"/>
      <c r="B57" s="350" t="s">
        <v>504</v>
      </c>
      <c r="C57" s="291"/>
      <c r="D57" s="291"/>
      <c r="E57" s="264">
        <v>0.8</v>
      </c>
      <c r="F57" s="289"/>
      <c r="G57" s="264">
        <v>1</v>
      </c>
      <c r="H57" s="264"/>
      <c r="I57" s="264">
        <f t="shared" si="3"/>
        <v>0.8</v>
      </c>
      <c r="J57" s="264"/>
      <c r="K57" s="264"/>
      <c r="L57" s="552"/>
      <c r="M57" s="264"/>
      <c r="N57" s="552"/>
      <c r="O57" s="264"/>
      <c r="P57" s="552"/>
      <c r="Q57" s="264"/>
      <c r="R57" s="552"/>
      <c r="S57" s="264"/>
      <c r="T57" s="552"/>
      <c r="U57" s="264"/>
      <c r="V57" s="552"/>
      <c r="W57" s="264"/>
      <c r="X57" s="552"/>
      <c r="Y57" s="264"/>
      <c r="Z57" s="552"/>
      <c r="AA57" s="264"/>
      <c r="AB57" s="264"/>
      <c r="AC57" s="523"/>
      <c r="AD57" s="531">
        <v>2.6</v>
      </c>
      <c r="AE57" s="264"/>
      <c r="AF57" s="524" t="s">
        <v>103</v>
      </c>
      <c r="AG57" s="531">
        <v>0.3</v>
      </c>
      <c r="AH57" s="287"/>
      <c r="AI57" s="97"/>
      <c r="AJ57" s="264">
        <f t="shared" si="4"/>
        <v>2.2999999999999998</v>
      </c>
      <c r="AK57" s="41"/>
      <c r="AL57" s="1072">
        <f>ROUND(IF(AG57=0,1,AJ57/ABS(AG57)),3)</f>
        <v>7.6669999999999998</v>
      </c>
      <c r="AM57" s="1627"/>
      <c r="AN57" s="1627"/>
    </row>
    <row r="58" spans="1:40" ht="15.75">
      <c r="A58" s="291"/>
      <c r="B58" s="350" t="s">
        <v>505</v>
      </c>
      <c r="C58" s="291"/>
      <c r="D58" s="291"/>
      <c r="E58" s="264">
        <v>0.4</v>
      </c>
      <c r="F58" s="289"/>
      <c r="G58" s="264">
        <v>2.7</v>
      </c>
      <c r="H58" s="264"/>
      <c r="I58" s="264">
        <f t="shared" si="3"/>
        <v>9.9999999999999978E-2</v>
      </c>
      <c r="J58" s="264"/>
      <c r="K58" s="264"/>
      <c r="L58" s="552"/>
      <c r="M58" s="264"/>
      <c r="N58" s="552"/>
      <c r="O58" s="264"/>
      <c r="P58" s="552"/>
      <c r="Q58" s="264"/>
      <c r="R58" s="552"/>
      <c r="S58" s="264"/>
      <c r="T58" s="552"/>
      <c r="U58" s="264"/>
      <c r="V58" s="552"/>
      <c r="W58" s="264"/>
      <c r="X58" s="552"/>
      <c r="Y58" s="264"/>
      <c r="Z58" s="552"/>
      <c r="AA58" s="264"/>
      <c r="AB58" s="264"/>
      <c r="AC58" s="523"/>
      <c r="AD58" s="531">
        <v>3.2</v>
      </c>
      <c r="AE58" s="264"/>
      <c r="AF58" s="524" t="s">
        <v>103</v>
      </c>
      <c r="AG58" s="531">
        <v>6.2</v>
      </c>
      <c r="AH58" s="287"/>
      <c r="AI58" s="97"/>
      <c r="AJ58" s="264">
        <f t="shared" si="4"/>
        <v>-3</v>
      </c>
      <c r="AK58" s="41"/>
      <c r="AL58" s="542">
        <f>ROUND(IF(AG58=0,0,AJ58/ABS(AG58)),3)</f>
        <v>-0.48399999999999999</v>
      </c>
      <c r="AM58" s="1627"/>
      <c r="AN58" s="1627"/>
    </row>
    <row r="59" spans="1:40" ht="15.75">
      <c r="A59" s="291"/>
      <c r="B59" s="350" t="s">
        <v>424</v>
      </c>
      <c r="C59" s="291"/>
      <c r="D59" s="291"/>
      <c r="E59" s="264">
        <v>0.1</v>
      </c>
      <c r="F59" s="289"/>
      <c r="G59" s="264">
        <v>0.1</v>
      </c>
      <c r="H59" s="264"/>
      <c r="I59" s="264">
        <f t="shared" si="3"/>
        <v>0.30000000000000004</v>
      </c>
      <c r="J59" s="264"/>
      <c r="K59" s="264"/>
      <c r="L59" s="552"/>
      <c r="M59" s="264"/>
      <c r="N59" s="552"/>
      <c r="O59" s="264"/>
      <c r="P59" s="552"/>
      <c r="Q59" s="264"/>
      <c r="R59" s="552"/>
      <c r="S59" s="264"/>
      <c r="T59" s="552"/>
      <c r="U59" s="264"/>
      <c r="V59" s="552"/>
      <c r="W59" s="264"/>
      <c r="X59" s="552"/>
      <c r="Y59" s="264"/>
      <c r="Z59" s="552"/>
      <c r="AA59" s="264"/>
      <c r="AB59" s="264"/>
      <c r="AC59" s="523"/>
      <c r="AD59" s="531">
        <v>0.5</v>
      </c>
      <c r="AE59" s="264"/>
      <c r="AF59" s="524" t="s">
        <v>103</v>
      </c>
      <c r="AG59" s="531">
        <v>0.19999999999999998</v>
      </c>
      <c r="AH59" s="287"/>
      <c r="AI59" s="97"/>
      <c r="AJ59" s="264">
        <f t="shared" si="4"/>
        <v>0.3</v>
      </c>
      <c r="AK59" s="41"/>
      <c r="AL59" s="542">
        <f>ROUND(IF(AG59=0,1,AJ59/ABS(AG59)),3)</f>
        <v>1.5</v>
      </c>
      <c r="AM59" s="1627"/>
      <c r="AN59" s="1627"/>
    </row>
    <row r="60" spans="1:40" s="3" customFormat="1" ht="15.75" collapsed="1">
      <c r="B60" s="83" t="s">
        <v>526</v>
      </c>
      <c r="E60" s="68">
        <f>ROUND(SUM(E33:E59),1)</f>
        <v>39</v>
      </c>
      <c r="F60" s="13"/>
      <c r="G60" s="68">
        <f>ROUND(SUM(G33:G59),1)</f>
        <v>94.1</v>
      </c>
      <c r="H60" s="393"/>
      <c r="I60" s="68">
        <f>ROUND(SUM(I33:I59),1)</f>
        <v>2403.6999999999998</v>
      </c>
      <c r="J60" s="13"/>
      <c r="K60" s="68">
        <f>ROUND(SUM(K33:K59),1)</f>
        <v>0</v>
      </c>
      <c r="L60" s="264"/>
      <c r="M60" s="68">
        <f>ROUND(SUM(M33:M59),1)</f>
        <v>0</v>
      </c>
      <c r="N60" s="264"/>
      <c r="O60" s="68">
        <f>ROUND(SUM(O33:O59),1)</f>
        <v>0</v>
      </c>
      <c r="P60" s="264"/>
      <c r="Q60" s="68">
        <f>ROUND(SUM(Q33:Q59),1)</f>
        <v>0</v>
      </c>
      <c r="R60" s="264"/>
      <c r="S60" s="68">
        <f>ROUND(SUM(S33:S59),1)</f>
        <v>0</v>
      </c>
      <c r="T60" s="13"/>
      <c r="U60" s="68">
        <f>ROUND(SUM(U33:U59),1)</f>
        <v>0</v>
      </c>
      <c r="V60" s="264"/>
      <c r="W60" s="68">
        <f>ROUND(SUM(W33:W59),1)</f>
        <v>0</v>
      </c>
      <c r="X60" s="264"/>
      <c r="Y60" s="68">
        <f>ROUND(SUM(Y33:Y59),1)</f>
        <v>0</v>
      </c>
      <c r="Z60" s="264"/>
      <c r="AA60" s="68">
        <f>ROUND(SUM(AA33:AA59),1)</f>
        <v>0</v>
      </c>
      <c r="AB60" s="13"/>
      <c r="AC60" s="14"/>
      <c r="AD60" s="68">
        <f>ROUND(SUM(AD33:AD59),1)</f>
        <v>2536.8000000000002</v>
      </c>
      <c r="AE60" s="1234"/>
      <c r="AF60" s="13"/>
      <c r="AG60" s="68">
        <f>ROUND(SUM(AG33:AG59),1)</f>
        <v>415.4</v>
      </c>
      <c r="AH60" s="18"/>
      <c r="AI60" s="97"/>
      <c r="AJ60" s="68">
        <f>ROUND(SUM(AJ33:AJ59),1)</f>
        <v>2121.4</v>
      </c>
      <c r="AK60" s="40"/>
      <c r="AL60" s="537">
        <f>ROUND(IF(AG60=0,0,AJ60/ABS(AG60)),3)</f>
        <v>5.1070000000000002</v>
      </c>
      <c r="AM60" s="1627"/>
      <c r="AN60" s="1627"/>
    </row>
    <row r="61" spans="1:40" s="3" customFormat="1" ht="15.75">
      <c r="B61" s="83"/>
      <c r="E61" s="13"/>
      <c r="F61" s="13"/>
      <c r="G61" s="13"/>
      <c r="H61" s="393"/>
      <c r="I61" s="13"/>
      <c r="J61" s="13"/>
      <c r="K61" s="13"/>
      <c r="L61" s="552"/>
      <c r="M61" s="512"/>
      <c r="N61" s="552"/>
      <c r="O61" s="512"/>
      <c r="P61" s="552"/>
      <c r="Q61" s="512"/>
      <c r="R61" s="552"/>
      <c r="S61" s="512"/>
      <c r="T61" s="552"/>
      <c r="U61" s="512"/>
      <c r="V61" s="552"/>
      <c r="W61" s="512"/>
      <c r="X61" s="552"/>
      <c r="Y61" s="512"/>
      <c r="Z61" s="552"/>
      <c r="AA61" s="512"/>
      <c r="AB61" s="13"/>
      <c r="AC61" s="14"/>
      <c r="AD61" s="13"/>
      <c r="AE61" s="1234"/>
      <c r="AF61" s="13"/>
      <c r="AG61" s="13"/>
      <c r="AH61" s="18"/>
      <c r="AI61" s="97"/>
      <c r="AJ61" s="13"/>
      <c r="AK61" s="40"/>
      <c r="AL61" s="74"/>
      <c r="AM61" s="1627"/>
      <c r="AN61" s="1627"/>
    </row>
    <row r="62" spans="1:40" ht="15.75">
      <c r="A62" s="291"/>
      <c r="B62" s="291" t="s">
        <v>507</v>
      </c>
      <c r="C62" s="291"/>
      <c r="D62" s="291"/>
      <c r="E62" s="264">
        <v>0</v>
      </c>
      <c r="F62" s="264"/>
      <c r="G62" s="264">
        <v>0</v>
      </c>
      <c r="H62" s="264"/>
      <c r="I62" s="264">
        <f>$AD62-G62-E62</f>
        <v>0</v>
      </c>
      <c r="J62" s="264"/>
      <c r="K62" s="264"/>
      <c r="L62" s="253"/>
      <c r="M62" s="264"/>
      <c r="N62" s="253"/>
      <c r="O62" s="264"/>
      <c r="P62" s="253"/>
      <c r="Q62" s="264"/>
      <c r="R62" s="253"/>
      <c r="S62" s="264"/>
      <c r="T62" s="884"/>
      <c r="U62" s="264"/>
      <c r="V62" s="884"/>
      <c r="W62" s="264"/>
      <c r="X62" s="884"/>
      <c r="Y62" s="264"/>
      <c r="Z62" s="884"/>
      <c r="AA62" s="264"/>
      <c r="AB62" s="291"/>
      <c r="AC62" s="523"/>
      <c r="AD62" s="531">
        <v>0</v>
      </c>
      <c r="AE62" s="264"/>
      <c r="AF62" s="524" t="s">
        <v>103</v>
      </c>
      <c r="AG62" s="531">
        <v>-0.1</v>
      </c>
      <c r="AH62" s="287"/>
      <c r="AI62" s="98"/>
      <c r="AJ62" s="382">
        <f>ROUND(AD62-AG62,1)</f>
        <v>0.1</v>
      </c>
      <c r="AK62" s="41"/>
      <c r="AL62" s="533">
        <f>ROUND(IF(AG62=0,1,AJ62/ABS(AG62)),3)</f>
        <v>1</v>
      </c>
      <c r="AM62" s="1627"/>
      <c r="AN62" s="1627"/>
    </row>
    <row r="63" spans="1:40" ht="15.75">
      <c r="A63" s="291"/>
      <c r="B63" s="291"/>
      <c r="C63" s="291"/>
      <c r="D63" s="291"/>
      <c r="E63" s="615"/>
      <c r="F63" s="264"/>
      <c r="G63" s="615"/>
      <c r="H63" s="264"/>
      <c r="I63" s="615"/>
      <c r="J63" s="264"/>
      <c r="K63" s="615"/>
      <c r="L63" s="253"/>
      <c r="M63" s="615"/>
      <c r="N63" s="253"/>
      <c r="O63" s="615"/>
      <c r="P63" s="253"/>
      <c r="Q63" s="615"/>
      <c r="R63" s="253"/>
      <c r="S63" s="615"/>
      <c r="T63" s="253"/>
      <c r="U63" s="615"/>
      <c r="V63" s="253"/>
      <c r="W63" s="615"/>
      <c r="X63" s="253"/>
      <c r="Y63" s="615"/>
      <c r="Z63" s="253"/>
      <c r="AA63" s="615"/>
      <c r="AB63" s="291"/>
      <c r="AC63" s="523"/>
      <c r="AD63" s="615"/>
      <c r="AE63" s="1232"/>
      <c r="AF63" s="264"/>
      <c r="AG63" s="615"/>
      <c r="AH63" s="264"/>
      <c r="AI63" s="98"/>
      <c r="AJ63" s="264"/>
      <c r="AL63" s="266"/>
      <c r="AM63" s="1627"/>
      <c r="AN63" s="1627"/>
    </row>
    <row r="64" spans="1:40" ht="15.75">
      <c r="A64" s="291"/>
      <c r="B64" s="3" t="s">
        <v>563</v>
      </c>
      <c r="C64" s="291"/>
      <c r="D64" s="291"/>
      <c r="E64" s="357">
        <f>ROUND(SUM(E31+E60+E62),1)</f>
        <v>125.1</v>
      </c>
      <c r="F64" s="13"/>
      <c r="G64" s="357">
        <f>ROUND(SUM(G31+G60+G62),1)</f>
        <v>178.9</v>
      </c>
      <c r="H64" s="13"/>
      <c r="I64" s="1135">
        <f>ROUND(SUM(I31+I60+I62),1)</f>
        <v>2547.6999999999998</v>
      </c>
      <c r="J64" s="13"/>
      <c r="K64" s="1135">
        <f>ROUND(SUM(K31+K60+K62),1)</f>
        <v>0</v>
      </c>
      <c r="L64" s="13"/>
      <c r="M64" s="357">
        <f>ROUND(SUM(M31+M60+M62),1)</f>
        <v>0</v>
      </c>
      <c r="N64" s="13"/>
      <c r="O64" s="357">
        <f>ROUND(SUM(O31+O60+O62),1)</f>
        <v>0</v>
      </c>
      <c r="P64" s="13"/>
      <c r="Q64" s="357">
        <f>ROUND(SUM(Q31+Q60+Q62),1)</f>
        <v>0</v>
      </c>
      <c r="R64" s="13"/>
      <c r="S64" s="357">
        <f>ROUND(SUM(S31+S60+S62),1)</f>
        <v>0</v>
      </c>
      <c r="T64" s="13"/>
      <c r="U64" s="357">
        <f>ROUND(SUM(U31+U60+U62),1)</f>
        <v>0</v>
      </c>
      <c r="V64" s="13"/>
      <c r="W64" s="357">
        <f>ROUND(SUM(W31+W60+W62),1)</f>
        <v>0</v>
      </c>
      <c r="X64" s="13"/>
      <c r="Y64" s="357">
        <f>ROUND(SUM(Y31+Y60+Y62),1)</f>
        <v>0</v>
      </c>
      <c r="Z64" s="13"/>
      <c r="AA64" s="357">
        <f>ROUND(SUM(AA31+AA60+AA62),1)</f>
        <v>0</v>
      </c>
      <c r="AB64" s="13"/>
      <c r="AC64" s="14"/>
      <c r="AD64" s="357">
        <f>ROUND(SUM(AD31+AD60+AD62),1)</f>
        <v>2851.7</v>
      </c>
      <c r="AE64" s="1234"/>
      <c r="AF64" s="13"/>
      <c r="AG64" s="357">
        <f>ROUND(SUM(AG31+AG60+AG62),1)</f>
        <v>747.6</v>
      </c>
      <c r="AH64" s="18"/>
      <c r="AI64" s="98"/>
      <c r="AJ64" s="357">
        <f>ROUND(SUM(AJ31+AJ60+AJ62),1)</f>
        <v>2104.1</v>
      </c>
      <c r="AK64" s="40"/>
      <c r="AL64" s="538">
        <f>ROUND(IF(AG64=0,0,AJ64/ABS(AG64)),3)</f>
        <v>2.8140000000000001</v>
      </c>
      <c r="AM64" s="1627"/>
      <c r="AN64" s="1627"/>
    </row>
    <row r="65" spans="1:40" ht="15.75">
      <c r="A65" s="291"/>
      <c r="B65" s="291"/>
      <c r="C65" s="291"/>
      <c r="D65" s="291"/>
      <c r="E65" s="264"/>
      <c r="F65" s="264"/>
      <c r="G65" s="264"/>
      <c r="H65" s="264"/>
      <c r="I65" s="264"/>
      <c r="J65" s="264"/>
      <c r="K65" s="264"/>
      <c r="L65" s="552"/>
      <c r="M65" s="512"/>
      <c r="N65" s="552"/>
      <c r="O65" s="512"/>
      <c r="P65" s="552"/>
      <c r="Q65" s="512"/>
      <c r="R65" s="552"/>
      <c r="S65" s="512"/>
      <c r="T65" s="552"/>
      <c r="U65" s="512"/>
      <c r="V65" s="552"/>
      <c r="W65" s="512"/>
      <c r="X65" s="552"/>
      <c r="Y65" s="512"/>
      <c r="Z65" s="552"/>
      <c r="AA65" s="512"/>
      <c r="AB65" s="1232"/>
      <c r="AC65" s="264"/>
      <c r="AD65" s="615"/>
      <c r="AE65" s="1232"/>
      <c r="AF65" s="264"/>
      <c r="AG65" s="615"/>
      <c r="AH65" s="264"/>
      <c r="AI65" s="98"/>
      <c r="AJ65" s="12"/>
      <c r="AL65" s="96"/>
      <c r="AM65" s="1627"/>
      <c r="AN65" s="1627"/>
    </row>
    <row r="66" spans="1:40" ht="15.75">
      <c r="A66" s="291"/>
      <c r="B66" s="3" t="s">
        <v>122</v>
      </c>
      <c r="C66" s="291"/>
      <c r="D66" s="291"/>
      <c r="E66" s="264"/>
      <c r="F66" s="264"/>
      <c r="G66" s="264"/>
      <c r="H66" s="264"/>
      <c r="I66" s="264"/>
      <c r="J66" s="264"/>
      <c r="K66" s="264"/>
      <c r="L66" s="552"/>
      <c r="M66" s="512"/>
      <c r="N66" s="552"/>
      <c r="O66" s="512"/>
      <c r="P66" s="552"/>
      <c r="Q66" s="512"/>
      <c r="R66" s="552"/>
      <c r="S66" s="512"/>
      <c r="T66" s="552"/>
      <c r="U66" s="512"/>
      <c r="V66" s="552"/>
      <c r="W66" s="512"/>
      <c r="X66" s="552"/>
      <c r="Y66" s="512"/>
      <c r="Z66" s="552"/>
      <c r="AA66" s="512"/>
      <c r="AB66" s="1232"/>
      <c r="AC66" s="264"/>
      <c r="AD66" s="264"/>
      <c r="AE66" s="1232"/>
      <c r="AF66" s="264"/>
      <c r="AG66" s="264"/>
      <c r="AH66" s="264"/>
      <c r="AI66" s="98"/>
      <c r="AJ66" s="12"/>
      <c r="AL66" s="96"/>
      <c r="AM66" s="1627"/>
      <c r="AN66" s="1627"/>
    </row>
    <row r="67" spans="1:40" ht="15.75">
      <c r="A67" s="291"/>
      <c r="B67" s="291" t="s">
        <v>451</v>
      </c>
      <c r="C67" s="291"/>
      <c r="D67" s="291"/>
      <c r="E67" s="264"/>
      <c r="F67" s="264"/>
      <c r="G67" s="264"/>
      <c r="H67" s="264"/>
      <c r="I67" s="264"/>
      <c r="J67" s="264"/>
      <c r="K67" s="264"/>
      <c r="L67" s="552"/>
      <c r="M67" s="512"/>
      <c r="N67" s="552"/>
      <c r="O67" s="512"/>
      <c r="P67" s="552"/>
      <c r="Q67" s="512"/>
      <c r="R67" s="552"/>
      <c r="S67" s="512"/>
      <c r="T67" s="552"/>
      <c r="U67" s="512"/>
      <c r="V67" s="552"/>
      <c r="W67" s="512"/>
      <c r="X67" s="552"/>
      <c r="Y67" s="512"/>
      <c r="Z67" s="552"/>
      <c r="AA67" s="512"/>
      <c r="AB67" s="264"/>
      <c r="AC67" s="523"/>
      <c r="AD67" s="264"/>
      <c r="AE67" s="1232"/>
      <c r="AF67" s="264"/>
      <c r="AG67" s="264"/>
      <c r="AH67" s="264"/>
      <c r="AI67" s="98"/>
      <c r="AJ67" s="12"/>
      <c r="AL67" s="96"/>
      <c r="AM67" s="1627"/>
      <c r="AN67" s="1627"/>
    </row>
    <row r="68" spans="1:40" ht="15.75">
      <c r="A68" s="291"/>
      <c r="B68" s="291" t="s">
        <v>124</v>
      </c>
      <c r="C68" s="291"/>
      <c r="D68" s="291"/>
      <c r="E68" s="264">
        <v>36.1</v>
      </c>
      <c r="F68" s="264"/>
      <c r="G68" s="264">
        <v>4.6999999999999957</v>
      </c>
      <c r="H68" s="264"/>
      <c r="I68" s="264">
        <f>$AD68-G68-E68</f>
        <v>14.300000000000004</v>
      </c>
      <c r="J68" s="264"/>
      <c r="K68" s="264"/>
      <c r="L68" s="552"/>
      <c r="M68" s="264"/>
      <c r="N68" s="552"/>
      <c r="O68" s="264"/>
      <c r="P68" s="552"/>
      <c r="Q68" s="264"/>
      <c r="R68" s="552"/>
      <c r="S68" s="264"/>
      <c r="T68" s="552"/>
      <c r="U68" s="264"/>
      <c r="V68" s="552"/>
      <c r="W68" s="264"/>
      <c r="X68" s="552"/>
      <c r="Y68" s="264"/>
      <c r="Z68" s="552"/>
      <c r="AA68" s="264"/>
      <c r="AB68" s="264"/>
      <c r="AC68" s="523"/>
      <c r="AD68" s="531">
        <v>55.1</v>
      </c>
      <c r="AE68" s="264"/>
      <c r="AF68" s="524" t="s">
        <v>103</v>
      </c>
      <c r="AG68" s="531">
        <v>25.1</v>
      </c>
      <c r="AH68" s="287"/>
      <c r="AI68" s="97"/>
      <c r="AJ68" s="264">
        <f t="shared" ref="AJ68:AJ76" si="5">ROUND(AD68-AG68,1)</f>
        <v>30</v>
      </c>
      <c r="AK68" s="41"/>
      <c r="AL68" s="1072">
        <f>ROUND(IF(AG68=0,1,AJ68/ABS(AG68)),3)</f>
        <v>1.1950000000000001</v>
      </c>
      <c r="AM68" s="1627"/>
      <c r="AN68" s="1627"/>
    </row>
    <row r="69" spans="1:40" ht="15.75">
      <c r="A69" s="291"/>
      <c r="B69" s="291" t="s">
        <v>125</v>
      </c>
      <c r="C69" s="291"/>
      <c r="D69" s="291"/>
      <c r="E69" s="264">
        <v>11.4</v>
      </c>
      <c r="F69" s="264"/>
      <c r="G69" s="264">
        <v>24.800000000000004</v>
      </c>
      <c r="H69" s="264"/>
      <c r="I69" s="264">
        <f t="shared" ref="I69:I76" si="6">$AD69-G69-E69</f>
        <v>35.799999999999997</v>
      </c>
      <c r="J69" s="264"/>
      <c r="K69" s="264"/>
      <c r="L69" s="552"/>
      <c r="M69" s="264"/>
      <c r="N69" s="552"/>
      <c r="O69" s="264"/>
      <c r="P69" s="552"/>
      <c r="Q69" s="264"/>
      <c r="R69" s="552"/>
      <c r="S69" s="264"/>
      <c r="T69" s="552"/>
      <c r="U69" s="264"/>
      <c r="V69" s="552"/>
      <c r="W69" s="264"/>
      <c r="X69" s="552"/>
      <c r="Y69" s="264"/>
      <c r="Z69" s="552"/>
      <c r="AA69" s="264"/>
      <c r="AB69" s="264"/>
      <c r="AC69" s="523"/>
      <c r="AD69" s="531">
        <v>72</v>
      </c>
      <c r="AE69" s="264"/>
      <c r="AF69" s="524" t="s">
        <v>103</v>
      </c>
      <c r="AG69" s="531">
        <v>36.200000000000003</v>
      </c>
      <c r="AH69" s="287"/>
      <c r="AI69" s="97"/>
      <c r="AJ69" s="264">
        <f t="shared" si="5"/>
        <v>35.799999999999997</v>
      </c>
      <c r="AK69" s="41"/>
      <c r="AL69" s="266">
        <f>ROUND(IF(AG69=0,0,AJ69/ABS(AG69)),3)</f>
        <v>0.98899999999999999</v>
      </c>
      <c r="AM69" s="1627"/>
      <c r="AN69" s="1627"/>
    </row>
    <row r="70" spans="1:40" ht="15.75">
      <c r="A70" s="291"/>
      <c r="B70" s="291" t="s">
        <v>126</v>
      </c>
      <c r="C70" s="291"/>
      <c r="D70" s="291"/>
      <c r="E70" s="264">
        <v>35.9</v>
      </c>
      <c r="F70" s="264"/>
      <c r="G70" s="264">
        <v>22.200000000000003</v>
      </c>
      <c r="H70" s="264"/>
      <c r="I70" s="264">
        <f t="shared" si="6"/>
        <v>53.9</v>
      </c>
      <c r="J70" s="264"/>
      <c r="K70" s="264"/>
      <c r="L70" s="552"/>
      <c r="M70" s="264"/>
      <c r="N70" s="552"/>
      <c r="O70" s="264"/>
      <c r="P70" s="552"/>
      <c r="Q70" s="264"/>
      <c r="R70" s="552"/>
      <c r="S70" s="264"/>
      <c r="T70" s="552"/>
      <c r="U70" s="264"/>
      <c r="V70" s="552"/>
      <c r="W70" s="264"/>
      <c r="X70" s="552"/>
      <c r="Y70" s="264"/>
      <c r="Z70" s="552"/>
      <c r="AA70" s="264"/>
      <c r="AB70" s="264"/>
      <c r="AC70" s="523"/>
      <c r="AD70" s="531">
        <v>112</v>
      </c>
      <c r="AE70" s="264"/>
      <c r="AF70" s="524" t="s">
        <v>103</v>
      </c>
      <c r="AG70" s="531">
        <v>125.2</v>
      </c>
      <c r="AH70" s="287"/>
      <c r="AI70" s="97"/>
      <c r="AJ70" s="264">
        <f t="shared" si="5"/>
        <v>-13.2</v>
      </c>
      <c r="AK70" s="41"/>
      <c r="AL70" s="266">
        <f>ROUND(IF(AG70=0,0,AJ70/ABS(AG70)),3)</f>
        <v>-0.105</v>
      </c>
      <c r="AM70" s="1627"/>
      <c r="AN70" s="1627"/>
    </row>
    <row r="71" spans="1:40" ht="15.75">
      <c r="A71" s="291"/>
      <c r="B71" s="291" t="s">
        <v>127</v>
      </c>
      <c r="C71" s="291"/>
      <c r="D71" s="291"/>
      <c r="E71" s="264"/>
      <c r="F71" s="264"/>
      <c r="G71" s="264"/>
      <c r="H71" s="264"/>
      <c r="I71" s="264"/>
      <c r="J71" s="264"/>
      <c r="K71" s="264"/>
      <c r="L71" s="552"/>
      <c r="M71" s="264"/>
      <c r="N71" s="552"/>
      <c r="O71" s="264"/>
      <c r="P71" s="552"/>
      <c r="Q71" s="264"/>
      <c r="R71" s="552"/>
      <c r="S71" s="264"/>
      <c r="T71" s="552"/>
      <c r="U71" s="264"/>
      <c r="V71" s="552"/>
      <c r="W71" s="264"/>
      <c r="X71" s="552"/>
      <c r="Y71" s="264"/>
      <c r="Z71" s="552"/>
      <c r="AA71" s="264"/>
      <c r="AB71" s="264"/>
      <c r="AC71" s="523"/>
      <c r="AD71" s="512"/>
      <c r="AE71" s="264"/>
      <c r="AF71" s="524" t="s">
        <v>103</v>
      </c>
      <c r="AG71" s="512"/>
      <c r="AH71" s="264"/>
      <c r="AI71" s="98"/>
      <c r="AJ71" s="264"/>
      <c r="AK71" s="41"/>
      <c r="AL71" s="96"/>
      <c r="AM71" s="1627"/>
      <c r="AN71" s="1627"/>
    </row>
    <row r="72" spans="1:40" ht="15.75">
      <c r="A72" s="291"/>
      <c r="B72" s="291" t="s">
        <v>129</v>
      </c>
      <c r="C72" s="291"/>
      <c r="D72" s="291"/>
      <c r="E72" s="264">
        <v>22.2</v>
      </c>
      <c r="F72" s="264"/>
      <c r="G72" s="264">
        <v>21.2</v>
      </c>
      <c r="H72" s="264"/>
      <c r="I72" s="264">
        <f t="shared" si="6"/>
        <v>107.40000000000002</v>
      </c>
      <c r="J72" s="264"/>
      <c r="K72" s="264"/>
      <c r="L72" s="552"/>
      <c r="M72" s="264"/>
      <c r="N72" s="552"/>
      <c r="O72" s="264"/>
      <c r="P72" s="552"/>
      <c r="Q72" s="264"/>
      <c r="R72" s="552"/>
      <c r="S72" s="264"/>
      <c r="T72" s="552"/>
      <c r="U72" s="264"/>
      <c r="V72" s="552"/>
      <c r="W72" s="264"/>
      <c r="X72" s="552"/>
      <c r="Y72" s="264"/>
      <c r="Z72" s="552"/>
      <c r="AA72" s="264"/>
      <c r="AB72" s="264"/>
      <c r="AC72" s="523"/>
      <c r="AD72" s="531">
        <v>150.80000000000001</v>
      </c>
      <c r="AE72" s="264"/>
      <c r="AF72" s="524" t="s">
        <v>103</v>
      </c>
      <c r="AG72" s="531">
        <v>108.9</v>
      </c>
      <c r="AH72" s="287"/>
      <c r="AI72" s="97"/>
      <c r="AJ72" s="264">
        <f t="shared" si="5"/>
        <v>41.9</v>
      </c>
      <c r="AK72" s="41"/>
      <c r="AL72" s="266">
        <f>ROUND(IF(AG72=0,0,AJ72/ABS(AG72)),3)</f>
        <v>0.38500000000000001</v>
      </c>
      <c r="AM72" s="1627"/>
      <c r="AN72" s="1627"/>
    </row>
    <row r="73" spans="1:40" ht="15.75">
      <c r="A73" s="291"/>
      <c r="B73" s="291" t="s">
        <v>130</v>
      </c>
      <c r="C73" s="291"/>
      <c r="D73" s="291"/>
      <c r="E73" s="264">
        <v>3.2</v>
      </c>
      <c r="F73" s="264"/>
      <c r="G73" s="264">
        <v>7.4999999999999991</v>
      </c>
      <c r="H73" s="264"/>
      <c r="I73" s="264">
        <f t="shared" si="6"/>
        <v>7.9999999999999991</v>
      </c>
      <c r="J73" s="264"/>
      <c r="K73" s="264"/>
      <c r="L73" s="552"/>
      <c r="M73" s="264"/>
      <c r="N73" s="552"/>
      <c r="O73" s="264"/>
      <c r="P73" s="552"/>
      <c r="Q73" s="264"/>
      <c r="R73" s="552"/>
      <c r="S73" s="264"/>
      <c r="T73" s="552"/>
      <c r="U73" s="264"/>
      <c r="V73" s="552"/>
      <c r="W73" s="264"/>
      <c r="X73" s="552"/>
      <c r="Y73" s="264"/>
      <c r="Z73" s="552"/>
      <c r="AA73" s="264"/>
      <c r="AB73" s="264"/>
      <c r="AC73" s="523"/>
      <c r="AD73" s="531">
        <v>18.7</v>
      </c>
      <c r="AE73" s="264"/>
      <c r="AF73" s="524" t="s">
        <v>103</v>
      </c>
      <c r="AG73" s="531">
        <v>5.8</v>
      </c>
      <c r="AH73" s="287"/>
      <c r="AI73" s="97"/>
      <c r="AJ73" s="264">
        <f t="shared" si="5"/>
        <v>12.9</v>
      </c>
      <c r="AK73" s="41"/>
      <c r="AL73" s="542">
        <f>ROUND(IF(AG73=0,1,AJ73/ABS(AG73)),3)</f>
        <v>2.2240000000000002</v>
      </c>
      <c r="AM73" s="1627"/>
      <c r="AN73" s="1627"/>
    </row>
    <row r="74" spans="1:40" ht="15.75">
      <c r="A74" s="291"/>
      <c r="B74" s="291" t="s">
        <v>131</v>
      </c>
      <c r="C74" s="291"/>
      <c r="D74" s="291"/>
      <c r="E74" s="264">
        <v>91.6</v>
      </c>
      <c r="F74" s="264"/>
      <c r="G74" s="264">
        <v>139.5</v>
      </c>
      <c r="H74" s="264"/>
      <c r="I74" s="264">
        <f t="shared" si="6"/>
        <v>124.20000000000002</v>
      </c>
      <c r="J74" s="264"/>
      <c r="K74" s="264"/>
      <c r="L74" s="552"/>
      <c r="M74" s="264"/>
      <c r="N74" s="552"/>
      <c r="O74" s="264"/>
      <c r="P74" s="552"/>
      <c r="Q74" s="264"/>
      <c r="R74" s="552"/>
      <c r="S74" s="264"/>
      <c r="T74" s="552"/>
      <c r="U74" s="264"/>
      <c r="V74" s="552"/>
      <c r="W74" s="264"/>
      <c r="X74" s="552"/>
      <c r="Y74" s="264"/>
      <c r="Z74" s="552"/>
      <c r="AA74" s="264"/>
      <c r="AB74" s="264"/>
      <c r="AC74" s="523"/>
      <c r="AD74" s="531">
        <v>355.3</v>
      </c>
      <c r="AE74" s="264"/>
      <c r="AF74" s="524" t="s">
        <v>103</v>
      </c>
      <c r="AG74" s="531">
        <v>429.4</v>
      </c>
      <c r="AH74" s="264"/>
      <c r="AI74" s="98"/>
      <c r="AJ74" s="264">
        <f t="shared" si="5"/>
        <v>-74.099999999999994</v>
      </c>
      <c r="AK74" s="41"/>
      <c r="AL74" s="561">
        <f>ROUND(IF(AG74=0,1,AJ74/ABS(AG74)),3)</f>
        <v>-0.17299999999999999</v>
      </c>
      <c r="AM74" s="1627"/>
      <c r="AN74" s="1627"/>
    </row>
    <row r="75" spans="1:40" ht="15.75">
      <c r="A75" s="291"/>
      <c r="B75" s="291" t="s">
        <v>132</v>
      </c>
      <c r="C75" s="3"/>
      <c r="D75" s="291"/>
      <c r="E75" s="264">
        <v>88.4</v>
      </c>
      <c r="F75" s="264"/>
      <c r="G75" s="264">
        <v>4</v>
      </c>
      <c r="H75" s="264"/>
      <c r="I75" s="264">
        <f t="shared" si="6"/>
        <v>167.6</v>
      </c>
      <c r="J75" s="264"/>
      <c r="K75" s="264"/>
      <c r="L75" s="552"/>
      <c r="M75" s="264"/>
      <c r="N75" s="552"/>
      <c r="O75" s="264"/>
      <c r="P75" s="552"/>
      <c r="Q75" s="264"/>
      <c r="R75" s="552"/>
      <c r="S75" s="264"/>
      <c r="T75" s="552"/>
      <c r="U75" s="264"/>
      <c r="V75" s="552"/>
      <c r="W75" s="264"/>
      <c r="X75" s="552"/>
      <c r="Y75" s="264"/>
      <c r="Z75" s="552"/>
      <c r="AA75" s="264"/>
      <c r="AB75" s="264"/>
      <c r="AC75" s="523"/>
      <c r="AD75" s="531">
        <v>260</v>
      </c>
      <c r="AE75" s="264"/>
      <c r="AF75" s="524" t="s">
        <v>103</v>
      </c>
      <c r="AG75" s="531">
        <v>200.4</v>
      </c>
      <c r="AH75" s="264"/>
      <c r="AI75" s="98"/>
      <c r="AJ75" s="264">
        <f t="shared" si="5"/>
        <v>59.6</v>
      </c>
      <c r="AL75" s="561">
        <f>ROUND(IF(AG75=0,0,AJ75/ABS(AG75)),3)</f>
        <v>0.29699999999999999</v>
      </c>
      <c r="AM75" s="1627"/>
      <c r="AN75" s="1627"/>
    </row>
    <row r="76" spans="1:40" ht="15.75">
      <c r="A76" s="291"/>
      <c r="B76" s="291" t="s">
        <v>133</v>
      </c>
      <c r="C76" s="291"/>
      <c r="D76" s="291"/>
      <c r="E76" s="264">
        <v>37.1</v>
      </c>
      <c r="F76" s="264"/>
      <c r="G76" s="264">
        <v>6.2000000000000028</v>
      </c>
      <c r="H76" s="264"/>
      <c r="I76" s="264">
        <f t="shared" si="6"/>
        <v>167.79999999999998</v>
      </c>
      <c r="J76" s="264"/>
      <c r="K76" s="264"/>
      <c r="L76" s="552"/>
      <c r="M76" s="264"/>
      <c r="N76" s="552"/>
      <c r="O76" s="264"/>
      <c r="P76" s="552"/>
      <c r="Q76" s="264"/>
      <c r="R76" s="552"/>
      <c r="S76" s="264"/>
      <c r="T76" s="552"/>
      <c r="U76" s="264"/>
      <c r="V76" s="552"/>
      <c r="W76" s="264"/>
      <c r="X76" s="552"/>
      <c r="Y76" s="264"/>
      <c r="Z76" s="552"/>
      <c r="AA76" s="264"/>
      <c r="AB76" s="264"/>
      <c r="AC76" s="523"/>
      <c r="AD76" s="531">
        <v>211.1</v>
      </c>
      <c r="AE76" s="264"/>
      <c r="AF76" s="524" t="s">
        <v>103</v>
      </c>
      <c r="AG76" s="531">
        <v>155.69999999999999</v>
      </c>
      <c r="AH76" s="264"/>
      <c r="AI76" s="98"/>
      <c r="AJ76" s="264">
        <f t="shared" si="5"/>
        <v>55.4</v>
      </c>
      <c r="AK76" s="41"/>
      <c r="AL76" s="542">
        <f>ROUND(IF(AG76=0,0,AJ76/ABS(AG76)),3)</f>
        <v>0.35599999999999998</v>
      </c>
      <c r="AM76" s="1627"/>
      <c r="AN76" s="1627"/>
    </row>
    <row r="77" spans="1:40" ht="15.75">
      <c r="A77" s="291"/>
      <c r="B77" s="3" t="s">
        <v>564</v>
      </c>
      <c r="C77" s="291"/>
      <c r="D77" s="291"/>
      <c r="E77" s="616">
        <f>ROUND(SUM(E68:E76),1)</f>
        <v>325.89999999999998</v>
      </c>
      <c r="F77" s="13"/>
      <c r="G77" s="616">
        <f>ROUND(SUM(G68:G76),1)</f>
        <v>230.1</v>
      </c>
      <c r="H77" s="13"/>
      <c r="I77" s="616">
        <f>ROUND(SUM(I68:I76),1)</f>
        <v>679</v>
      </c>
      <c r="J77" s="13"/>
      <c r="K77" s="616">
        <f>ROUND(SUM(K68:K76),1)</f>
        <v>0</v>
      </c>
      <c r="L77" s="13"/>
      <c r="M77" s="616">
        <f>ROUND(SUM(M68:M76),1)</f>
        <v>0</v>
      </c>
      <c r="N77" s="13"/>
      <c r="O77" s="616">
        <f>ROUND(SUM(O68:O76),1)</f>
        <v>0</v>
      </c>
      <c r="P77" s="13"/>
      <c r="Q77" s="616">
        <f>ROUND(SUM(Q68:Q76),1)</f>
        <v>0</v>
      </c>
      <c r="R77" s="13"/>
      <c r="S77" s="616">
        <f>ROUND(SUM(S68:S76),1)</f>
        <v>0</v>
      </c>
      <c r="T77" s="13"/>
      <c r="U77" s="616">
        <f>ROUND(SUM(U68:U76),1)</f>
        <v>0</v>
      </c>
      <c r="V77" s="13"/>
      <c r="W77" s="616">
        <f>ROUND(SUM(W68:W76),1)</f>
        <v>0</v>
      </c>
      <c r="X77" s="13"/>
      <c r="Y77" s="616">
        <f>ROUND(SUM(Y68:Y76),1)</f>
        <v>0</v>
      </c>
      <c r="Z77" s="13"/>
      <c r="AA77" s="616">
        <f>ROUND(SUM(AA68:AA76),1)</f>
        <v>0</v>
      </c>
      <c r="AB77" s="13"/>
      <c r="AC77" s="14"/>
      <c r="AD77" s="616">
        <f>ROUND(SUM(AD68:AD76),1)</f>
        <v>1235</v>
      </c>
      <c r="AE77" s="1234"/>
      <c r="AF77" s="13"/>
      <c r="AG77" s="616">
        <f>ROUND(SUM(AG68:AG76),1)</f>
        <v>1086.7</v>
      </c>
      <c r="AH77" s="13"/>
      <c r="AI77" s="98"/>
      <c r="AJ77" s="616">
        <f>ROUND(SUM(AJ68:AJ76),1)</f>
        <v>148.30000000000001</v>
      </c>
      <c r="AK77" s="3"/>
      <c r="AL77" s="537">
        <f>ROUND(IF(AG77=0,0,AJ77/ABS(AG77)),3)</f>
        <v>0.13600000000000001</v>
      </c>
      <c r="AM77" s="1627"/>
      <c r="AN77" s="1627"/>
    </row>
    <row r="78" spans="1:40" ht="15.75">
      <c r="A78" s="291"/>
      <c r="B78" s="291" t="s">
        <v>565</v>
      </c>
      <c r="C78" s="291"/>
      <c r="D78" s="291"/>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523"/>
      <c r="AD78" s="264"/>
      <c r="AE78" s="1232"/>
      <c r="AF78" s="264"/>
      <c r="AG78" s="264"/>
      <c r="AH78" s="264"/>
      <c r="AI78" s="98"/>
      <c r="AJ78" s="12"/>
      <c r="AL78" s="96"/>
      <c r="AM78" s="1627"/>
      <c r="AN78" s="1627"/>
    </row>
    <row r="79" spans="1:40" ht="15.75">
      <c r="A79" s="291"/>
      <c r="B79" s="291" t="s">
        <v>566</v>
      </c>
      <c r="C79" s="291"/>
      <c r="D79" s="291"/>
      <c r="E79" s="264">
        <v>0</v>
      </c>
      <c r="F79" s="264"/>
      <c r="G79" s="264">
        <v>0</v>
      </c>
      <c r="H79" s="264"/>
      <c r="I79" s="264">
        <f>$AD79-G79-E79</f>
        <v>0</v>
      </c>
      <c r="J79" s="264"/>
      <c r="K79" s="264"/>
      <c r="L79" s="552"/>
      <c r="M79" s="264"/>
      <c r="N79" s="552"/>
      <c r="O79" s="264"/>
      <c r="P79" s="552"/>
      <c r="Q79" s="264"/>
      <c r="R79" s="552"/>
      <c r="S79" s="264"/>
      <c r="T79" s="552"/>
      <c r="U79" s="264"/>
      <c r="V79" s="552"/>
      <c r="W79" s="264"/>
      <c r="X79" s="552"/>
      <c r="Y79" s="264"/>
      <c r="Z79" s="552"/>
      <c r="AA79" s="264"/>
      <c r="AB79" s="264"/>
      <c r="AC79" s="523"/>
      <c r="AD79" s="264">
        <v>0</v>
      </c>
      <c r="AE79" s="1232"/>
      <c r="AF79" s="264"/>
      <c r="AG79" s="264">
        <v>0</v>
      </c>
      <c r="AH79" s="367"/>
      <c r="AI79" s="100"/>
      <c r="AJ79" s="264">
        <f>ROUND(AD79-AG79,1)</f>
        <v>0</v>
      </c>
      <c r="AL79" s="266">
        <f>ROUND(IF(AG79=0,0,AJ79/ABS(AG79)),3)</f>
        <v>0</v>
      </c>
      <c r="AM79" s="1627"/>
      <c r="AN79" s="1627"/>
    </row>
    <row r="80" spans="1:40" ht="15.75">
      <c r="A80" s="291"/>
      <c r="B80" s="291" t="s">
        <v>567</v>
      </c>
      <c r="C80" s="291"/>
      <c r="D80" s="291"/>
      <c r="E80" s="264">
        <v>0</v>
      </c>
      <c r="F80" s="264"/>
      <c r="G80" s="264">
        <v>0</v>
      </c>
      <c r="H80" s="264"/>
      <c r="I80" s="264">
        <f t="shared" ref="I80:I82" si="7">$AD80-G80-E80</f>
        <v>0</v>
      </c>
      <c r="J80" s="264"/>
      <c r="K80" s="264"/>
      <c r="L80" s="552"/>
      <c r="M80" s="264"/>
      <c r="N80" s="552"/>
      <c r="O80" s="264"/>
      <c r="P80" s="552"/>
      <c r="Q80" s="264"/>
      <c r="R80" s="552"/>
      <c r="S80" s="264"/>
      <c r="T80" s="552"/>
      <c r="U80" s="264"/>
      <c r="V80" s="552"/>
      <c r="W80" s="264"/>
      <c r="X80" s="552"/>
      <c r="Y80" s="264"/>
      <c r="Z80" s="552"/>
      <c r="AA80" s="264"/>
      <c r="AB80" s="264"/>
      <c r="AC80" s="523"/>
      <c r="AD80" s="882">
        <v>0</v>
      </c>
      <c r="AE80" s="1232"/>
      <c r="AF80" s="264"/>
      <c r="AG80" s="882">
        <v>0</v>
      </c>
      <c r="AH80" s="367"/>
      <c r="AI80" s="100"/>
      <c r="AJ80" s="264">
        <f>ROUND(AD80-AG80,1)</f>
        <v>0</v>
      </c>
      <c r="AL80" s="266">
        <f>ROUND(IF(AG80=0,0,AJ80/ABS(AG80)),3)</f>
        <v>0</v>
      </c>
      <c r="AM80" s="1627"/>
      <c r="AN80" s="1627"/>
    </row>
    <row r="81" spans="1:40" ht="15.75">
      <c r="A81" s="291"/>
      <c r="B81" s="291" t="s">
        <v>568</v>
      </c>
      <c r="C81" s="291"/>
      <c r="D81" s="291"/>
      <c r="E81" s="264">
        <v>0</v>
      </c>
      <c r="F81" s="264"/>
      <c r="G81" s="264">
        <v>0</v>
      </c>
      <c r="H81" s="264"/>
      <c r="I81" s="264">
        <f t="shared" si="7"/>
        <v>0</v>
      </c>
      <c r="J81" s="264"/>
      <c r="K81" s="264"/>
      <c r="L81" s="552"/>
      <c r="M81" s="264"/>
      <c r="N81" s="552"/>
      <c r="O81" s="264"/>
      <c r="P81" s="552"/>
      <c r="Q81" s="264"/>
      <c r="R81" s="552"/>
      <c r="S81" s="264"/>
      <c r="T81" s="552"/>
      <c r="U81" s="264"/>
      <c r="V81" s="552"/>
      <c r="W81" s="264"/>
      <c r="X81" s="552"/>
      <c r="Y81" s="264"/>
      <c r="Z81" s="552"/>
      <c r="AA81" s="264"/>
      <c r="AB81" s="1066"/>
      <c r="AC81" s="1067"/>
      <c r="AD81" s="264">
        <v>0</v>
      </c>
      <c r="AE81" s="1232"/>
      <c r="AF81" s="264"/>
      <c r="AG81" s="264">
        <v>0</v>
      </c>
      <c r="AH81" s="367"/>
      <c r="AI81" s="100"/>
      <c r="AJ81" s="264">
        <f>ROUND(AD81-AG81,1)</f>
        <v>0</v>
      </c>
      <c r="AL81" s="266">
        <f>ROUND(IF(AG81=0,0,AJ81/ABS(AG81)),3)</f>
        <v>0</v>
      </c>
      <c r="AM81" s="1627"/>
      <c r="AN81" s="1627"/>
    </row>
    <row r="82" spans="1:40" ht="15.75">
      <c r="A82" s="291"/>
      <c r="B82" s="412" t="s">
        <v>513</v>
      </c>
      <c r="C82" s="291"/>
      <c r="D82" s="291"/>
      <c r="E82" s="264">
        <v>363.7</v>
      </c>
      <c r="F82" s="264"/>
      <c r="G82" s="264">
        <v>566.40000000000009</v>
      </c>
      <c r="H82" s="264"/>
      <c r="I82" s="264">
        <f t="shared" si="7"/>
        <v>969.39999999999986</v>
      </c>
      <c r="J82" s="264"/>
      <c r="K82" s="264"/>
      <c r="L82" s="552"/>
      <c r="M82" s="264"/>
      <c r="N82" s="552"/>
      <c r="O82" s="264"/>
      <c r="P82" s="552"/>
      <c r="Q82" s="264"/>
      <c r="R82" s="552"/>
      <c r="S82" s="264"/>
      <c r="T82" s="552"/>
      <c r="U82" s="264"/>
      <c r="V82" s="552"/>
      <c r="W82" s="264"/>
      <c r="X82" s="552"/>
      <c r="Y82" s="264"/>
      <c r="Z82" s="552"/>
      <c r="AA82" s="264"/>
      <c r="AB82" s="264"/>
      <c r="AC82" s="523"/>
      <c r="AD82" s="985">
        <v>1899.5</v>
      </c>
      <c r="AE82" s="264"/>
      <c r="AF82" s="524" t="s">
        <v>103</v>
      </c>
      <c r="AG82" s="985">
        <v>1861.3</v>
      </c>
      <c r="AH82" s="287"/>
      <c r="AI82" s="97"/>
      <c r="AJ82" s="382">
        <f>ROUND(AD82-AG82,1)</f>
        <v>38.200000000000003</v>
      </c>
      <c r="AL82" s="533">
        <f>ROUND(IF(AG82=0,0,AJ82/ABS(AG82)),3)</f>
        <v>2.1000000000000001E-2</v>
      </c>
      <c r="AM82" s="1627"/>
      <c r="AN82" s="1627"/>
    </row>
    <row r="83" spans="1:40" ht="15.75">
      <c r="A83" s="291"/>
      <c r="B83" s="291"/>
      <c r="C83" s="291"/>
      <c r="D83" s="291"/>
      <c r="E83" s="615"/>
      <c r="F83" s="264"/>
      <c r="G83" s="615"/>
      <c r="H83" s="264"/>
      <c r="I83" s="615"/>
      <c r="J83" s="264"/>
      <c r="K83" s="615"/>
      <c r="L83" s="264"/>
      <c r="M83" s="615"/>
      <c r="N83" s="264"/>
      <c r="O83" s="615"/>
      <c r="P83" s="264"/>
      <c r="Q83" s="615"/>
      <c r="R83" s="264"/>
      <c r="S83" s="615"/>
      <c r="T83" s="264"/>
      <c r="U83" s="615"/>
      <c r="V83" s="264"/>
      <c r="W83" s="615"/>
      <c r="X83" s="264"/>
      <c r="Y83" s="615"/>
      <c r="Z83" s="264"/>
      <c r="AA83" s="615"/>
      <c r="AB83" s="264"/>
      <c r="AC83" s="523"/>
      <c r="AD83" s="12"/>
      <c r="AE83" s="1232"/>
      <c r="AF83" s="264"/>
      <c r="AG83" s="12"/>
      <c r="AH83" s="12"/>
      <c r="AI83" s="98"/>
      <c r="AJ83" s="12"/>
      <c r="AL83" s="96"/>
      <c r="AM83" s="1627"/>
      <c r="AN83" s="1627"/>
    </row>
    <row r="84" spans="1:40" ht="15.75">
      <c r="A84" s="291"/>
      <c r="B84" s="3" t="s">
        <v>569</v>
      </c>
      <c r="C84" s="291"/>
      <c r="D84" s="291"/>
      <c r="E84" s="13">
        <f>ROUND(SUM(E77:E82),1)</f>
        <v>689.6</v>
      </c>
      <c r="F84" s="13"/>
      <c r="G84" s="13">
        <f>ROUND(SUM(G77:G82),1)</f>
        <v>796.5</v>
      </c>
      <c r="H84" s="13"/>
      <c r="I84" s="13">
        <f>ROUND(SUM(I77:I82),1)</f>
        <v>1648.4</v>
      </c>
      <c r="J84" s="13"/>
      <c r="K84" s="13">
        <f>ROUND(SUM(K77:K82),1)</f>
        <v>0</v>
      </c>
      <c r="L84" s="13"/>
      <c r="M84" s="13">
        <f>ROUND(SUM(M77:M82),1)</f>
        <v>0</v>
      </c>
      <c r="N84" s="13"/>
      <c r="O84" s="13">
        <f>ROUND(SUM(O77:O82),1)</f>
        <v>0</v>
      </c>
      <c r="P84" s="13"/>
      <c r="Q84" s="13">
        <f>ROUND(SUM(Q77:Q82),1)</f>
        <v>0</v>
      </c>
      <c r="R84" s="13"/>
      <c r="S84" s="13">
        <f>ROUND(SUM(S77:S82),1)</f>
        <v>0</v>
      </c>
      <c r="T84" s="13"/>
      <c r="U84" s="13">
        <f>ROUND(SUM(U77:U82),1)</f>
        <v>0</v>
      </c>
      <c r="V84" s="13"/>
      <c r="W84" s="13">
        <f>ROUND(SUM(W77:W82),1)</f>
        <v>0</v>
      </c>
      <c r="X84" s="13"/>
      <c r="Y84" s="13">
        <f>ROUND(SUM(Y77:Y82),1)</f>
        <v>0</v>
      </c>
      <c r="Z84" s="13"/>
      <c r="AA84" s="13">
        <f>ROUND(SUM(AA77:AA82),1)</f>
        <v>0</v>
      </c>
      <c r="AB84" s="13"/>
      <c r="AC84" s="14"/>
      <c r="AD84" s="13">
        <f>ROUND(SUM(AD77:AD82),1)</f>
        <v>3134.5</v>
      </c>
      <c r="AE84" s="1234"/>
      <c r="AF84" s="13"/>
      <c r="AG84" s="13">
        <f>ROUND(SUM(AG77:AG82),1)</f>
        <v>2948</v>
      </c>
      <c r="AH84" s="13"/>
      <c r="AI84" s="98"/>
      <c r="AJ84" s="357">
        <f>ROUND(AD84-AG84,1)</f>
        <v>186.5</v>
      </c>
      <c r="AK84" s="3"/>
      <c r="AL84" s="538">
        <f>ROUND(IF(AG84=0,0,AJ84/ABS(AG84)),3)</f>
        <v>6.3E-2</v>
      </c>
      <c r="AM84" s="1627"/>
      <c r="AN84" s="1627"/>
    </row>
    <row r="85" spans="1:40" ht="15.75">
      <c r="A85" s="291"/>
      <c r="B85" s="291"/>
      <c r="C85" s="291"/>
      <c r="D85" s="291"/>
      <c r="E85" s="615"/>
      <c r="F85" s="264"/>
      <c r="G85" s="615"/>
      <c r="H85" s="264"/>
      <c r="I85" s="615"/>
      <c r="J85" s="264"/>
      <c r="K85" s="615"/>
      <c r="L85" s="264"/>
      <c r="M85" s="615"/>
      <c r="N85" s="264"/>
      <c r="O85" s="615"/>
      <c r="P85" s="264"/>
      <c r="Q85" s="615"/>
      <c r="R85" s="264"/>
      <c r="S85" s="615"/>
      <c r="T85" s="264"/>
      <c r="U85" s="615"/>
      <c r="V85" s="264"/>
      <c r="W85" s="615"/>
      <c r="X85" s="264"/>
      <c r="Y85" s="615"/>
      <c r="Z85" s="264"/>
      <c r="AA85" s="615"/>
      <c r="AB85" s="264"/>
      <c r="AC85" s="523"/>
      <c r="AD85" s="615"/>
      <c r="AE85" s="1232"/>
      <c r="AF85" s="264"/>
      <c r="AG85" s="615"/>
      <c r="AH85" s="264"/>
      <c r="AI85" s="98"/>
      <c r="AJ85" s="12"/>
      <c r="AL85" s="96"/>
      <c r="AM85" s="1627"/>
      <c r="AN85" s="1627"/>
    </row>
    <row r="86" spans="1:40" ht="15.75">
      <c r="A86" s="291"/>
      <c r="B86" s="3" t="s">
        <v>570</v>
      </c>
      <c r="C86" s="291"/>
      <c r="D86" s="29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523"/>
      <c r="AD86" s="12"/>
      <c r="AE86" s="1232"/>
      <c r="AF86" s="264"/>
      <c r="AG86" s="12"/>
      <c r="AH86" s="12"/>
      <c r="AI86" s="98"/>
      <c r="AJ86" s="12"/>
      <c r="AL86" s="96"/>
      <c r="AM86" s="1627"/>
      <c r="AN86" s="1627"/>
    </row>
    <row r="87" spans="1:40" ht="15.75">
      <c r="A87" s="291"/>
      <c r="B87" s="3" t="s">
        <v>571</v>
      </c>
      <c r="C87" s="291"/>
      <c r="D87" s="291"/>
      <c r="E87" s="13">
        <f>ROUND(SUM(E64-E84),1)</f>
        <v>-564.5</v>
      </c>
      <c r="F87" s="13"/>
      <c r="G87" s="13">
        <f>ROUND(SUM(G64-G84),1)</f>
        <v>-617.6</v>
      </c>
      <c r="H87" s="13"/>
      <c r="I87" s="13">
        <f>ROUND(SUM(I64-I84),1)</f>
        <v>899.3</v>
      </c>
      <c r="J87" s="13"/>
      <c r="K87" s="13">
        <f>ROUND(SUM(K64-K84),1)</f>
        <v>0</v>
      </c>
      <c r="L87" s="13"/>
      <c r="M87" s="13">
        <f>ROUND(SUM(M64-M84),1)</f>
        <v>0</v>
      </c>
      <c r="N87" s="13"/>
      <c r="O87" s="13">
        <f>ROUND(SUM(O64-O84),1)</f>
        <v>0</v>
      </c>
      <c r="P87" s="13"/>
      <c r="Q87" s="13">
        <f>ROUND(SUM(Q64-Q84),1)</f>
        <v>0</v>
      </c>
      <c r="R87" s="13"/>
      <c r="S87" s="13">
        <f>ROUND(SUM(S64-S84),1)</f>
        <v>0</v>
      </c>
      <c r="T87" s="13"/>
      <c r="U87" s="13">
        <f>ROUND(SUM(U64-U84),1)</f>
        <v>0</v>
      </c>
      <c r="V87" s="13"/>
      <c r="W87" s="13">
        <f>ROUND(SUM(W64-W84),1)</f>
        <v>0</v>
      </c>
      <c r="X87" s="13"/>
      <c r="Y87" s="13">
        <f>ROUND(SUM(Y64-Y84),1)</f>
        <v>0</v>
      </c>
      <c r="Z87" s="13"/>
      <c r="AA87" s="13">
        <f>ROUND(SUM(AA64-AA84),1)</f>
        <v>0</v>
      </c>
      <c r="AB87" s="13"/>
      <c r="AC87" s="14"/>
      <c r="AD87" s="13">
        <f>ROUND(SUM(AD64-AD84),1)</f>
        <v>-282.8</v>
      </c>
      <c r="AE87" s="1234"/>
      <c r="AF87" s="13"/>
      <c r="AG87" s="13">
        <f>ROUND(SUM(AG64-AG84),1)</f>
        <v>-2200.4</v>
      </c>
      <c r="AH87" s="13"/>
      <c r="AI87" s="98"/>
      <c r="AJ87" s="357">
        <f>ROUND(AD87-AG87,1)</f>
        <v>1917.6</v>
      </c>
      <c r="AK87" s="3"/>
      <c r="AL87" s="539">
        <f>ROUND(IF(AG87=0,0,AJ87/ABS(AG87)),3)</f>
        <v>0.871</v>
      </c>
      <c r="AM87" s="1627"/>
      <c r="AN87" s="1627"/>
    </row>
    <row r="88" spans="1:40" ht="15.75">
      <c r="A88" s="291"/>
      <c r="B88" s="291"/>
      <c r="C88" s="291"/>
      <c r="D88" s="291"/>
      <c r="E88" s="615"/>
      <c r="F88" s="264"/>
      <c r="G88" s="615"/>
      <c r="H88" s="264"/>
      <c r="I88" s="615"/>
      <c r="J88" s="264"/>
      <c r="K88" s="615"/>
      <c r="L88" s="264"/>
      <c r="M88" s="615"/>
      <c r="N88" s="264"/>
      <c r="O88" s="615"/>
      <c r="P88" s="264"/>
      <c r="Q88" s="615"/>
      <c r="R88" s="264"/>
      <c r="S88" s="615"/>
      <c r="T88" s="264"/>
      <c r="U88" s="615"/>
      <c r="V88" s="264"/>
      <c r="W88" s="615"/>
      <c r="X88" s="264"/>
      <c r="Y88" s="615"/>
      <c r="Z88" s="264"/>
      <c r="AA88" s="615"/>
      <c r="AB88" s="264"/>
      <c r="AC88" s="523"/>
      <c r="AD88" s="615"/>
      <c r="AE88" s="1232"/>
      <c r="AF88" s="264"/>
      <c r="AG88" s="615"/>
      <c r="AH88" s="264"/>
      <c r="AI88" s="98"/>
      <c r="AJ88" s="12"/>
      <c r="AL88" s="96"/>
      <c r="AM88" s="1627"/>
      <c r="AN88" s="1627"/>
    </row>
    <row r="89" spans="1:40" ht="15.75">
      <c r="A89" s="291"/>
      <c r="B89" s="3" t="s">
        <v>572</v>
      </c>
      <c r="C89" s="291"/>
      <c r="D89" s="29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523"/>
      <c r="AD89" s="367"/>
      <c r="AE89" s="1232"/>
      <c r="AF89" s="264"/>
      <c r="AG89" s="367"/>
      <c r="AH89" s="367"/>
      <c r="AI89" s="100"/>
      <c r="AJ89" s="12"/>
      <c r="AL89" s="96"/>
      <c r="AM89" s="1627"/>
      <c r="AN89" s="1627"/>
    </row>
    <row r="90" spans="1:40" ht="15.75">
      <c r="A90" s="291"/>
      <c r="B90" s="291" t="s">
        <v>573</v>
      </c>
      <c r="C90" s="291"/>
      <c r="D90" s="291"/>
      <c r="E90" s="264">
        <v>0</v>
      </c>
      <c r="F90" s="264"/>
      <c r="G90" s="264">
        <v>0</v>
      </c>
      <c r="H90" s="264"/>
      <c r="I90" s="264">
        <f>$AD90-G90-E90</f>
        <v>0</v>
      </c>
      <c r="J90" s="264"/>
      <c r="K90" s="264"/>
      <c r="L90" s="552"/>
      <c r="M90" s="264"/>
      <c r="N90" s="552"/>
      <c r="O90" s="264"/>
      <c r="P90" s="552"/>
      <c r="Q90" s="264"/>
      <c r="R90" s="552"/>
      <c r="S90" s="264"/>
      <c r="T90" s="552"/>
      <c r="U90" s="264"/>
      <c r="V90" s="552"/>
      <c r="W90" s="264"/>
      <c r="X90" s="552"/>
      <c r="Y90" s="264"/>
      <c r="Z90" s="552"/>
      <c r="AA90" s="264"/>
      <c r="AB90" s="264"/>
      <c r="AC90" s="523"/>
      <c r="AD90" s="531">
        <v>0</v>
      </c>
      <c r="AE90" s="287"/>
      <c r="AF90" s="1763"/>
      <c r="AG90" s="531">
        <v>0</v>
      </c>
      <c r="AH90" s="367"/>
      <c r="AI90" s="100"/>
      <c r="AJ90" s="264">
        <f>ROUND(AD90-AG90,1)</f>
        <v>0</v>
      </c>
      <c r="AK90" s="41"/>
      <c r="AL90" s="542">
        <f>ROUND(IF(AG90=0,0,AJ90/ABS(AG90)),3)</f>
        <v>0</v>
      </c>
      <c r="AM90" s="1627"/>
      <c r="AN90" s="1627"/>
    </row>
    <row r="91" spans="1:40" ht="15.75">
      <c r="A91" s="291"/>
      <c r="B91" s="412" t="s">
        <v>515</v>
      </c>
      <c r="C91" s="291"/>
      <c r="D91" s="291"/>
      <c r="E91" s="264">
        <v>463.8</v>
      </c>
      <c r="F91" s="264"/>
      <c r="G91" s="264">
        <v>402.8</v>
      </c>
      <c r="H91" s="264"/>
      <c r="I91" s="264">
        <f t="shared" ref="I91:I92" si="8">$AD91-G91-E91</f>
        <v>-1129.0999999999999</v>
      </c>
      <c r="J91" s="264"/>
      <c r="K91" s="264"/>
      <c r="L91" s="552"/>
      <c r="M91" s="264"/>
      <c r="N91" s="552"/>
      <c r="O91" s="264"/>
      <c r="P91" s="552"/>
      <c r="Q91" s="264"/>
      <c r="R91" s="552"/>
      <c r="S91" s="264"/>
      <c r="T91" s="552"/>
      <c r="U91" s="264"/>
      <c r="V91" s="552"/>
      <c r="W91" s="264"/>
      <c r="X91" s="552"/>
      <c r="Y91" s="264"/>
      <c r="Z91" s="552"/>
      <c r="AA91" s="264"/>
      <c r="AB91" s="264"/>
      <c r="AC91" s="523"/>
      <c r="AD91" s="531">
        <v>-262.5</v>
      </c>
      <c r="AE91" s="287"/>
      <c r="AF91" s="1763"/>
      <c r="AG91" s="531">
        <v>1644.6</v>
      </c>
      <c r="AH91" s="287"/>
      <c r="AI91" s="97"/>
      <c r="AJ91" s="264">
        <f>ROUND(AD91-AG91,1)</f>
        <v>-1907.1</v>
      </c>
      <c r="AL91" s="542">
        <f>ROUND(IF(AG91=0,0,AJ91/ABS(AG91)),3)</f>
        <v>-1.1599999999999999</v>
      </c>
      <c r="AM91" s="1627"/>
      <c r="AN91" s="1627"/>
    </row>
    <row r="92" spans="1:40" ht="15.75">
      <c r="A92" s="291"/>
      <c r="B92" s="412" t="s">
        <v>574</v>
      </c>
      <c r="C92" s="291"/>
      <c r="D92" s="291"/>
      <c r="E92" s="264">
        <v>-1.3</v>
      </c>
      <c r="F92" s="264"/>
      <c r="G92" s="264">
        <v>-1.8</v>
      </c>
      <c r="H92" s="264"/>
      <c r="I92" s="264">
        <f t="shared" si="8"/>
        <v>-0.29999999999999982</v>
      </c>
      <c r="J92" s="264"/>
      <c r="K92" s="264"/>
      <c r="L92" s="552"/>
      <c r="M92" s="264"/>
      <c r="N92" s="552"/>
      <c r="O92" s="264"/>
      <c r="P92" s="552"/>
      <c r="Q92" s="264"/>
      <c r="R92" s="552"/>
      <c r="S92" s="264"/>
      <c r="T92" s="552"/>
      <c r="U92" s="264"/>
      <c r="V92" s="552"/>
      <c r="W92" s="264"/>
      <c r="X92" s="552"/>
      <c r="Y92" s="264"/>
      <c r="Z92" s="552"/>
      <c r="AA92" s="264"/>
      <c r="AB92" s="264"/>
      <c r="AC92" s="523"/>
      <c r="AD92" s="985">
        <v>-3.4</v>
      </c>
      <c r="AE92" s="287"/>
      <c r="AF92" s="1763"/>
      <c r="AG92" s="985">
        <v>-4.3</v>
      </c>
      <c r="AH92" s="264"/>
      <c r="AI92" s="98"/>
      <c r="AJ92" s="382">
        <f>ROUND(-AD92+AG92,1)</f>
        <v>-0.9</v>
      </c>
      <c r="AL92" s="533">
        <f>ROUND(IF(AG92=0,0,AJ92/ABS(AG92)),3)</f>
        <v>-0.20899999999999999</v>
      </c>
      <c r="AM92" s="1627"/>
      <c r="AN92" s="1627"/>
    </row>
    <row r="93" spans="1:40" ht="15.75">
      <c r="A93" s="291"/>
      <c r="B93" s="291"/>
      <c r="C93" s="291"/>
      <c r="D93" s="291"/>
      <c r="E93" s="615"/>
      <c r="F93" s="264"/>
      <c r="G93" s="615"/>
      <c r="H93" s="264"/>
      <c r="I93" s="615"/>
      <c r="J93" s="264"/>
      <c r="K93" s="615"/>
      <c r="L93" s="264"/>
      <c r="M93" s="615"/>
      <c r="N93" s="264"/>
      <c r="O93" s="615"/>
      <c r="P93" s="264"/>
      <c r="Q93" s="615"/>
      <c r="R93" s="264"/>
      <c r="S93" s="615"/>
      <c r="T93" s="264"/>
      <c r="U93" s="615"/>
      <c r="V93" s="264"/>
      <c r="W93" s="615"/>
      <c r="X93" s="264"/>
      <c r="Y93" s="615"/>
      <c r="Z93" s="264"/>
      <c r="AA93" s="615"/>
      <c r="AB93" s="264"/>
      <c r="AC93" s="523"/>
      <c r="AD93" s="12"/>
      <c r="AE93" s="1232"/>
      <c r="AF93" s="264"/>
      <c r="AG93" s="12"/>
      <c r="AH93" s="12"/>
      <c r="AI93" s="98"/>
      <c r="AJ93" s="12"/>
      <c r="AL93" s="96"/>
      <c r="AM93" s="1627"/>
      <c r="AN93" s="1627"/>
    </row>
    <row r="94" spans="1:40" ht="15.75">
      <c r="A94" s="291"/>
      <c r="B94" s="3" t="s">
        <v>582</v>
      </c>
      <c r="C94" s="291"/>
      <c r="D94" s="291"/>
      <c r="E94" s="13">
        <f>ROUND(SUM(E90:E92),1)</f>
        <v>462.5</v>
      </c>
      <c r="F94" s="13"/>
      <c r="G94" s="13">
        <f>ROUND(SUM(G90:G92),1)</f>
        <v>401</v>
      </c>
      <c r="H94" s="13"/>
      <c r="I94" s="13">
        <f>ROUND(SUM(I90:I92),1)</f>
        <v>-1129.4000000000001</v>
      </c>
      <c r="J94" s="13"/>
      <c r="K94" s="13">
        <f>ROUND(SUM(K90:K92),1)</f>
        <v>0</v>
      </c>
      <c r="L94" s="13"/>
      <c r="M94" s="13">
        <f>ROUND(SUM(M90:M92),1)</f>
        <v>0</v>
      </c>
      <c r="N94" s="13"/>
      <c r="O94" s="13">
        <f>ROUND(SUM(O90:O92),1)</f>
        <v>0</v>
      </c>
      <c r="P94" s="13"/>
      <c r="Q94" s="13">
        <f>ROUND(SUM(Q90:Q92),1)</f>
        <v>0</v>
      </c>
      <c r="R94" s="13"/>
      <c r="S94" s="13">
        <f>ROUND(SUM(S90:S92),1)</f>
        <v>0</v>
      </c>
      <c r="T94" s="13"/>
      <c r="U94" s="13">
        <f>ROUND(SUM(U90:U92),1)</f>
        <v>0</v>
      </c>
      <c r="V94" s="13"/>
      <c r="W94" s="13">
        <f>ROUND(SUM(W90:W92),1)</f>
        <v>0</v>
      </c>
      <c r="X94" s="13"/>
      <c r="Y94" s="13">
        <f>ROUND(SUM(Y90:Y92),1)</f>
        <v>0</v>
      </c>
      <c r="Z94" s="13"/>
      <c r="AA94" s="13">
        <f>ROUND(SUM(AA90:AA92),1)</f>
        <v>0</v>
      </c>
      <c r="AB94" s="13"/>
      <c r="AC94" s="14"/>
      <c r="AD94" s="13">
        <f>ROUND(SUM(AD90:AD92),1)</f>
        <v>-265.89999999999998</v>
      </c>
      <c r="AE94" s="1234"/>
      <c r="AF94" s="13"/>
      <c r="AG94" s="13">
        <f>ROUND(SUM(AG90:AG92),1)</f>
        <v>1640.3</v>
      </c>
      <c r="AH94" s="13"/>
      <c r="AI94" s="98"/>
      <c r="AJ94" s="357">
        <f>ROUND(AD94-AG94,1)</f>
        <v>-1906.2</v>
      </c>
      <c r="AK94" s="3"/>
      <c r="AL94" s="539">
        <f>ROUND(IF(AG94=0,0,AJ94/ABS(AG94)),3)</f>
        <v>-1.1619999999999999</v>
      </c>
      <c r="AM94" s="1627"/>
      <c r="AN94" s="1627"/>
    </row>
    <row r="95" spans="1:40" ht="15.75">
      <c r="A95" s="291"/>
      <c r="B95" s="291"/>
      <c r="C95" s="291"/>
      <c r="D95" s="291"/>
      <c r="E95" s="615"/>
      <c r="F95" s="264"/>
      <c r="G95" s="615"/>
      <c r="H95" s="264"/>
      <c r="I95" s="615"/>
      <c r="J95" s="264"/>
      <c r="K95" s="615"/>
      <c r="L95" s="264"/>
      <c r="M95" s="615"/>
      <c r="N95" s="264"/>
      <c r="O95" s="615"/>
      <c r="P95" s="264"/>
      <c r="Q95" s="615"/>
      <c r="R95" s="264"/>
      <c r="S95" s="615"/>
      <c r="T95" s="264"/>
      <c r="U95" s="615"/>
      <c r="V95" s="264"/>
      <c r="W95" s="615"/>
      <c r="X95" s="264"/>
      <c r="Y95" s="615"/>
      <c r="Z95" s="264"/>
      <c r="AA95" s="615"/>
      <c r="AB95" s="264"/>
      <c r="AC95" s="523"/>
      <c r="AD95" s="615"/>
      <c r="AE95" s="1232"/>
      <c r="AF95" s="264"/>
      <c r="AG95" s="615"/>
      <c r="AH95" s="264"/>
      <c r="AI95" s="98"/>
      <c r="AJ95" s="12"/>
      <c r="AL95" s="96"/>
      <c r="AM95" s="1627"/>
      <c r="AN95" s="1627"/>
    </row>
    <row r="96" spans="1:40" ht="15.75">
      <c r="A96" s="291"/>
      <c r="B96" s="3" t="s">
        <v>576</v>
      </c>
      <c r="C96" s="291"/>
      <c r="D96" s="291"/>
      <c r="E96" s="264"/>
      <c r="F96" s="264"/>
      <c r="G96" s="264" t="s">
        <v>103</v>
      </c>
      <c r="H96" s="264"/>
      <c r="I96" s="264" t="s">
        <v>103</v>
      </c>
      <c r="J96" s="264"/>
      <c r="K96" s="264" t="s">
        <v>103</v>
      </c>
      <c r="L96" s="264"/>
      <c r="M96" s="264" t="s">
        <v>103</v>
      </c>
      <c r="N96" s="264"/>
      <c r="O96" s="264" t="s">
        <v>103</v>
      </c>
      <c r="P96" s="264"/>
      <c r="Q96" s="264" t="s">
        <v>103</v>
      </c>
      <c r="R96" s="264"/>
      <c r="S96" s="264" t="s">
        <v>103</v>
      </c>
      <c r="T96" s="264"/>
      <c r="U96" s="264" t="s">
        <v>103</v>
      </c>
      <c r="V96" s="264"/>
      <c r="W96" s="264" t="s">
        <v>103</v>
      </c>
      <c r="X96" s="264"/>
      <c r="Y96" s="264" t="s">
        <v>103</v>
      </c>
      <c r="Z96" s="264"/>
      <c r="AA96" s="264" t="s">
        <v>103</v>
      </c>
      <c r="AB96" s="264"/>
      <c r="AC96" s="523"/>
      <c r="AD96" s="264"/>
      <c r="AE96" s="1232"/>
      <c r="AF96" s="264"/>
      <c r="AG96" s="264"/>
      <c r="AH96" s="264"/>
      <c r="AI96" s="98"/>
      <c r="AJ96" s="12"/>
      <c r="AL96" s="96"/>
      <c r="AM96" s="1627"/>
      <c r="AN96" s="1627"/>
    </row>
    <row r="97" spans="1:40" ht="15.75">
      <c r="A97" s="291"/>
      <c r="B97" s="3" t="s">
        <v>577</v>
      </c>
      <c r="C97" s="291"/>
      <c r="D97" s="291"/>
      <c r="E97" s="264" t="s">
        <v>103</v>
      </c>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523"/>
      <c r="AD97" s="12"/>
      <c r="AE97" s="1232"/>
      <c r="AF97" s="264"/>
      <c r="AG97" s="12"/>
      <c r="AH97" s="12"/>
      <c r="AI97" s="98"/>
      <c r="AJ97" s="12"/>
      <c r="AL97" s="96"/>
      <c r="AM97" s="1627"/>
      <c r="AN97" s="1627"/>
    </row>
    <row r="98" spans="1:40" s="12" customFormat="1" ht="15.75">
      <c r="A98" s="264"/>
      <c r="B98" s="13" t="s">
        <v>1404</v>
      </c>
      <c r="C98" s="264"/>
      <c r="D98" s="264"/>
      <c r="E98" s="718">
        <f>ROUND(SUM(E87+E94),1)</f>
        <v>-102</v>
      </c>
      <c r="F98" s="719"/>
      <c r="G98" s="718">
        <f>ROUND(SUM(G87+G94),1)</f>
        <v>-216.6</v>
      </c>
      <c r="H98" s="719"/>
      <c r="I98" s="718">
        <f>ROUND(SUM(I87+I94),1)</f>
        <v>-230.1</v>
      </c>
      <c r="J98" s="719"/>
      <c r="K98" s="718">
        <f>ROUND(SUM(K87+K94),1)</f>
        <v>0</v>
      </c>
      <c r="L98" s="719"/>
      <c r="M98" s="718">
        <f>ROUND(SUM(M87+M94),1)</f>
        <v>0</v>
      </c>
      <c r="N98" s="719"/>
      <c r="O98" s="718">
        <f>ROUND(SUM(O87+O94),1)</f>
        <v>0</v>
      </c>
      <c r="P98" s="719"/>
      <c r="Q98" s="718">
        <f>ROUND(SUM(Q87+Q94),1)</f>
        <v>0</v>
      </c>
      <c r="R98" s="719"/>
      <c r="S98" s="718">
        <f>ROUND(SUM(S87+S94),1)</f>
        <v>0</v>
      </c>
      <c r="T98" s="719"/>
      <c r="U98" s="718">
        <f>ROUND(SUM(U87+U94),1)</f>
        <v>0</v>
      </c>
      <c r="V98" s="719"/>
      <c r="W98" s="718">
        <f>ROUND(SUM(W87+W94),1)</f>
        <v>0</v>
      </c>
      <c r="X98" s="920"/>
      <c r="Y98" s="718">
        <f>ROUND(SUM(Y87+Y94),1)</f>
        <v>0</v>
      </c>
      <c r="Z98" s="719"/>
      <c r="AA98" s="718">
        <f>ROUND(SUM(AA87+AA94),1)</f>
        <v>0</v>
      </c>
      <c r="AB98" s="719"/>
      <c r="AC98" s="720"/>
      <c r="AD98" s="718">
        <f>ROUND(SUM(AD87+AD94),1)</f>
        <v>-548.70000000000005</v>
      </c>
      <c r="AE98" s="1244"/>
      <c r="AF98" s="13"/>
      <c r="AG98" s="718">
        <f>ROUND(SUM(AG87+AG94),1)</f>
        <v>-560.1</v>
      </c>
      <c r="AH98" s="13"/>
      <c r="AI98" s="98"/>
      <c r="AJ98" s="718">
        <f>ROUND(SUM(AJ87+AJ94),1)</f>
        <v>11.4</v>
      </c>
      <c r="AK98" s="13"/>
      <c r="AL98" s="539">
        <f>ROUND(IF(AG98=0,0,AJ98/ABS(AG98)),3)</f>
        <v>0.02</v>
      </c>
      <c r="AM98" s="1627"/>
      <c r="AN98" s="1627"/>
    </row>
    <row r="99" spans="1:40">
      <c r="B99" s="925"/>
      <c r="X99" s="1073"/>
      <c r="AC99" s="1775"/>
      <c r="AF99" s="1775"/>
      <c r="AI99" s="1776"/>
      <c r="AM99" s="1627"/>
      <c r="AN99" s="1627"/>
    </row>
    <row r="100" spans="1:40" ht="16.5" thickBot="1">
      <c r="B100" s="3" t="s">
        <v>532</v>
      </c>
      <c r="C100" s="103"/>
      <c r="D100" s="103"/>
      <c r="E100" s="70">
        <f>ROUND(SUM(E13+E98),1)</f>
        <v>-2308.4</v>
      </c>
      <c r="F100" s="103"/>
      <c r="G100" s="70">
        <f>ROUND(SUM(G13+G98),1)</f>
        <v>-2525</v>
      </c>
      <c r="I100" s="70">
        <f>ROUND(SUM(I13+I98),1)</f>
        <v>-2755.1</v>
      </c>
      <c r="K100" s="70">
        <f>ROUND(SUM(K13+K98),1)</f>
        <v>0</v>
      </c>
      <c r="M100" s="70">
        <f>ROUND(SUM(M13+M98),1)</f>
        <v>0</v>
      </c>
      <c r="O100" s="70">
        <f>ROUND(SUM(O13+O98),1)</f>
        <v>0</v>
      </c>
      <c r="Q100" s="70">
        <f>ROUND(SUM(Q13+Q98),1)</f>
        <v>0</v>
      </c>
      <c r="S100" s="70">
        <f>ROUND(SUM(S13+S98),1)</f>
        <v>0</v>
      </c>
      <c r="U100" s="70">
        <f>ROUND(SUM(U13+U98),1)</f>
        <v>0</v>
      </c>
      <c r="W100" s="70">
        <f>ROUND(SUM(W13+W98),1)</f>
        <v>0</v>
      </c>
      <c r="Y100" s="70">
        <f>ROUND(SUM(Y13+Y98),1)</f>
        <v>0</v>
      </c>
      <c r="AA100" s="70">
        <f>ROUND(SUM(AA13+AA98),1)</f>
        <v>0</v>
      </c>
      <c r="AC100" s="1775"/>
      <c r="AD100" s="70">
        <f>ROUND(SUM(AD13+AD98),1)</f>
        <v>-2755.1</v>
      </c>
      <c r="AF100" s="1775"/>
      <c r="AG100" s="70">
        <f>ROUND(SUM(AG13+AG98),1)</f>
        <v>-1637.4</v>
      </c>
      <c r="AI100" s="1776"/>
      <c r="AJ100" s="70">
        <f>ROUND(SUM(AJ13+AJ98),1)</f>
        <v>-1117.7</v>
      </c>
      <c r="AL100" s="77">
        <f>ROUND(IF(AG100=0,0,AJ100/ABS(AG100)),3)</f>
        <v>-0.68300000000000005</v>
      </c>
      <c r="AM100" s="1627"/>
      <c r="AN100" s="1627"/>
    </row>
    <row r="101" spans="1:40" ht="15.75" thickTop="1">
      <c r="B101" s="921"/>
      <c r="C101" s="103"/>
      <c r="D101" s="103"/>
      <c r="E101" s="103"/>
      <c r="F101" s="103"/>
      <c r="G101" s="103"/>
      <c r="AG101" s="425"/>
      <c r="AJ101" s="41"/>
    </row>
    <row r="102" spans="1:40">
      <c r="B102" s="104"/>
    </row>
    <row r="103" spans="1:40">
      <c r="B103" s="104"/>
      <c r="AD103" s="12"/>
    </row>
    <row r="104" spans="1:40">
      <c r="B104" s="102"/>
    </row>
    <row r="105" spans="1:40">
      <c r="B105" s="104"/>
      <c r="AD105" s="425"/>
    </row>
    <row r="106" spans="1:40">
      <c r="B106" s="104"/>
    </row>
    <row r="107" spans="1:40">
      <c r="B107" s="102"/>
    </row>
  </sheetData>
  <customSheetViews>
    <customSheetView guid="{83D69B98-1714-4D17-901F-87B47BE66947}" scale="80" showPageBreaks="1" showGridLines="0" fitToPage="1" printArea="1" topLeftCell="A88">
      <selection activeCell="K10" sqref="K10"/>
      <rowBreaks count="1" manualBreakCount="1">
        <brk id="65" min="1" max="37" man="1"/>
      </rowBreaks>
      <pageMargins left="0.25" right="0.25" top="0.5" bottom="0.25" header="0" footer="0.25"/>
      <printOptions horizontalCentered="1"/>
      <pageSetup scale="42" firstPageNumber="31" fitToHeight="0" orientation="landscape" useFirstPageNumber="1" r:id="rId1"/>
      <headerFooter scaleWithDoc="0" alignWithMargins="0">
        <oddFooter>&amp;C&amp;8&amp;P</oddFooter>
      </headerFooter>
    </customSheetView>
    <customSheetView guid="{F9AE1502-86F7-4AAA-AE66-F6A75A634C1B}"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2"/>
      <headerFooter scaleWithDoc="0" alignWithMargins="0">
        <oddFooter>&amp;C&amp;8&amp;P</oddFooter>
      </headerFooter>
    </customSheetView>
    <customSheetView guid="{C41E3923-0A88-49D0-AE43-0E74D386A056}" scale="80" showPageBreaks="1" showGridLines="0" fitToPage="1" printArea="1" topLeftCell="A74">
      <selection activeCell="X44" sqref="X44"/>
      <rowBreaks count="1" manualBreakCount="1">
        <brk id="65" min="1" max="37" man="1"/>
      </rowBreaks>
      <pageMargins left="0.25" right="0.25" top="0.5" bottom="0.25" header="0" footer="0.25"/>
      <printOptions horizontalCentered="1"/>
      <pageSetup scale="42" firstPageNumber="31" fitToHeight="0" orientation="landscape" useFirstPageNumber="1" r:id="rId3"/>
      <headerFooter scaleWithDoc="0" alignWithMargins="0">
        <oddFooter>&amp;C&amp;8&amp;P</oddFooter>
      </headerFooter>
    </customSheetView>
    <customSheetView guid="{1DF171D7-3BFC-49F6-B708-0F91FCFAB6E2}"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2" firstPageNumber="31" fitToHeight="0" orientation="landscape" useFirstPageNumber="1" r:id="rId4"/>
      <headerFooter scaleWithDoc="0" alignWithMargins="0">
        <oddFooter>&amp;C&amp;8&amp;P</oddFooter>
      </headerFooter>
    </customSheetView>
    <customSheetView guid="{9F00D83C-7F4F-41B5-9976-8610D9EBC976}"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A34">
      <selection activeCell="G62" sqref="G62"/>
      <rowBreaks count="1" manualBreakCount="1">
        <brk id="65" min="1" max="37" man="1"/>
      </rowBreaks>
      <pageMargins left="0.25" right="0.25" top="0.5" bottom="0.25" header="0" footer="0.25"/>
      <printOptions horizontalCentered="1"/>
      <pageSetup scale="42" firstPageNumber="31" fitToHeight="0"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K1">
      <selection activeCell="AL63" sqref="AL63"/>
      <rowBreaks count="1" manualBreakCount="1">
        <brk id="65" min="1" max="37" man="1"/>
      </rowBreaks>
      <pageMargins left="0.25" right="0.25" top="0.5" bottom="0.25" header="0" footer="0.25"/>
      <printOptions horizontalCentered="1"/>
      <pageSetup scale="42" firstPageNumber="31" fitToHeight="0" orientation="landscape" useFirstPageNumber="1" r:id="rId7"/>
      <headerFooter scaleWithDoc="0" alignWithMargins="0">
        <oddFooter>&amp;C&amp;8&amp;P</oddFooter>
      </headerFooter>
    </customSheetView>
    <customSheetView guid="{C3636880-B45B-4897-94F2-F91976416934}" scale="80" showPageBreaks="1" showGridLines="0" fitToPage="1" printArea="1" topLeftCell="B48">
      <selection activeCell="Q79" sqref="Q79"/>
      <rowBreaks count="1" manualBreakCount="1">
        <brk id="65" min="1" max="37" man="1"/>
      </rowBreaks>
      <pageMargins left="0.25" right="0.25" top="0.5" bottom="0.25" header="0" footer="0.25"/>
      <printOptions horizontalCentered="1"/>
      <pageSetup scale="43" firstPageNumber="31" fitToHeight="0" orientation="landscape" useFirstPageNumber="1" r:id="rId8"/>
      <headerFooter scaleWithDoc="0" alignWithMargins="0">
        <oddFooter>&amp;C&amp;8&amp;P</oddFooter>
      </headerFooter>
    </customSheetView>
  </customSheetViews>
  <mergeCells count="1">
    <mergeCell ref="AC9:AL9"/>
  </mergeCells>
  <printOptions horizontalCentered="1"/>
  <pageMargins left="0.25" right="0.25" top="0.5" bottom="0.25" header="0" footer="0.25"/>
  <pageSetup scale="43" firstPageNumber="31" fitToHeight="0" orientation="landscape" useFirstPageNumber="1" r:id="rId9"/>
  <headerFooter scaleWithDoc="0" alignWithMargins="0">
    <oddFooter>&amp;C&amp;8&amp;P</oddFooter>
  </headerFooter>
  <rowBreaks count="1" manualBreakCount="1">
    <brk id="65" min="1" max="37" man="1"/>
  </rowBreaks>
  <customProperties>
    <customPr name="SheetOptions" r:id="rId10"/>
  </customProperties>
  <ignoredErrors>
    <ignoredError sqref="AL39 AL31:AL34 AL37 AL93 AL95 AL88:AL89 AL85:AL86 AL91:AL92 AL78 AL83 AL84 AL79:AL82 AL75 AL22 AL30 AL27 AL19 AL29 AL23 AL25:AL26 AL21 AL77 AL96:AL98" unlockedFormula="1"/>
    <ignoredError sqref="AL47 AL64 AL72 AL69:AL70 AL71 AL65:AL67 AL61 AL52" formula="1" unlockedFormula="1"/>
    <ignoredError sqref="AL49:AL50 AL51 AL57:AL60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80" zoomScaleNormal="80" workbookViewId="0"/>
  </sheetViews>
  <sheetFormatPr defaultColWidth="8.88671875" defaultRowHeight="15"/>
  <cols>
    <col min="1" max="1" width="2.5546875" style="23" customWidth="1"/>
    <col min="2" max="2" width="14.109375" style="23" customWidth="1"/>
    <col min="3" max="3" width="26.5546875" style="23" customWidth="1"/>
    <col min="4" max="4" width="2.109375"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886718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2.88671875" style="23" customWidth="1"/>
    <col min="31" max="32" width="1.109375" style="23" customWidth="1"/>
    <col min="33" max="33" width="12.88671875" style="23" customWidth="1"/>
    <col min="34" max="35" width="1.109375" style="23" customWidth="1"/>
    <col min="36" max="36" width="12.88671875" style="23" customWidth="1"/>
    <col min="37" max="37" width="1.109375" style="23" customWidth="1"/>
    <col min="38" max="38" width="12.88671875" style="23" customWidth="1"/>
    <col min="39" max="39" width="8.88671875" style="23" bestFit="1" customWidth="1"/>
    <col min="40" max="40" width="9.44140625" style="23" bestFit="1" customWidth="1"/>
    <col min="41" max="16384" width="8.88671875" style="23"/>
  </cols>
  <sheetData>
    <row r="1" spans="1:40">
      <c r="B1" s="265" t="s">
        <v>97</v>
      </c>
    </row>
    <row r="2" spans="1:40">
      <c r="B2" s="354"/>
    </row>
    <row r="3" spans="1:40" ht="19.5" customHeight="1">
      <c r="A3" s="84"/>
      <c r="B3" s="50" t="s">
        <v>98</v>
      </c>
      <c r="C3" s="85"/>
      <c r="D3" s="85"/>
      <c r="E3" s="85"/>
      <c r="F3" s="86"/>
      <c r="G3" s="86"/>
      <c r="H3" s="86"/>
      <c r="I3" s="86"/>
      <c r="J3" s="86"/>
      <c r="K3" s="86"/>
      <c r="L3" s="86"/>
      <c r="M3" s="86"/>
      <c r="N3" s="86"/>
      <c r="O3" s="86"/>
      <c r="P3" s="86"/>
      <c r="Q3" s="86"/>
      <c r="R3" s="86"/>
      <c r="S3" s="1136"/>
      <c r="T3" s="86"/>
      <c r="U3" s="86"/>
      <c r="V3" s="86"/>
      <c r="W3" s="86"/>
      <c r="X3" s="86"/>
      <c r="Y3" s="86"/>
      <c r="Z3" s="86"/>
      <c r="AA3" s="86"/>
      <c r="AB3" s="86"/>
      <c r="AC3" s="86"/>
      <c r="AD3" s="86"/>
      <c r="AE3" s="86"/>
      <c r="AF3" s="86"/>
      <c r="AG3" s="86"/>
      <c r="AH3" s="86"/>
      <c r="AI3" s="86"/>
      <c r="AL3" s="72" t="s">
        <v>553</v>
      </c>
    </row>
    <row r="4" spans="1:40" ht="19.5" customHeight="1">
      <c r="A4" s="84"/>
      <c r="B4" s="50" t="s">
        <v>583</v>
      </c>
      <c r="C4" s="85"/>
      <c r="D4" s="85"/>
      <c r="E4" s="85"/>
      <c r="F4" s="86"/>
      <c r="G4" s="86"/>
      <c r="H4" s="86"/>
      <c r="I4" s="86"/>
      <c r="J4" s="86"/>
      <c r="K4" s="86"/>
      <c r="L4" s="86"/>
      <c r="M4" s="86"/>
      <c r="N4" s="86"/>
      <c r="O4" s="86"/>
      <c r="P4" s="86"/>
      <c r="Q4" s="86"/>
      <c r="R4" s="86"/>
      <c r="S4" s="86"/>
      <c r="T4" s="86"/>
      <c r="U4" s="86"/>
      <c r="V4" s="86"/>
      <c r="W4" s="86"/>
      <c r="X4" s="86"/>
      <c r="Y4" s="86"/>
      <c r="Z4" s="86"/>
      <c r="AA4" s="86"/>
      <c r="AB4" s="86"/>
      <c r="AC4" s="86"/>
      <c r="AE4" s="87"/>
      <c r="AF4" s="87"/>
    </row>
    <row r="5" spans="1:40" ht="19.5" customHeight="1">
      <c r="A5" s="84"/>
      <c r="B5" s="540" t="s">
        <v>444</v>
      </c>
      <c r="C5" s="85"/>
      <c r="D5" s="85"/>
      <c r="E5" s="85"/>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L5" s="72"/>
    </row>
    <row r="6" spans="1:40" ht="19.5" customHeight="1">
      <c r="A6" s="84"/>
      <c r="B6" s="540" t="str">
        <f>'Cashflow Governmental'!A6</f>
        <v>FISCAL YEAR 2026-2027</v>
      </c>
      <c r="C6" s="924"/>
      <c r="D6" s="85"/>
      <c r="E6" s="85"/>
      <c r="F6" s="86"/>
      <c r="G6" s="86"/>
      <c r="H6" s="1132"/>
      <c r="I6" s="86"/>
      <c r="J6" s="86"/>
      <c r="K6" s="86"/>
      <c r="L6" s="86"/>
      <c r="M6" s="86"/>
      <c r="N6" s="86"/>
      <c r="O6" s="86"/>
      <c r="P6" s="86"/>
      <c r="Q6" s="86"/>
      <c r="R6" s="86"/>
      <c r="S6" s="86"/>
      <c r="T6" s="86"/>
      <c r="U6" s="86"/>
      <c r="V6" s="86"/>
      <c r="W6" s="86"/>
      <c r="X6" s="86"/>
      <c r="Y6" s="86"/>
      <c r="Z6" s="86"/>
      <c r="AA6" s="86"/>
      <c r="AB6" s="86"/>
      <c r="AC6" s="86"/>
      <c r="AD6" s="86"/>
      <c r="AE6" s="88"/>
      <c r="AF6" s="88"/>
      <c r="AG6" s="88"/>
      <c r="AH6" s="88"/>
      <c r="AI6" s="88"/>
    </row>
    <row r="7" spans="1:40" ht="19.5" customHeight="1">
      <c r="A7" s="84"/>
      <c r="B7" s="50" t="s">
        <v>226</v>
      </c>
      <c r="C7" s="85"/>
      <c r="D7" s="85"/>
      <c r="E7" s="85"/>
      <c r="F7" s="86"/>
      <c r="G7" s="86"/>
      <c r="H7" s="1132"/>
      <c r="I7" s="86"/>
      <c r="J7" s="86"/>
      <c r="K7" s="86"/>
      <c r="L7" s="86"/>
      <c r="M7" s="86"/>
      <c r="N7" s="86"/>
      <c r="O7" s="86"/>
      <c r="P7" s="86"/>
      <c r="Q7" s="86"/>
      <c r="R7" s="86"/>
      <c r="S7" s="86"/>
      <c r="T7" s="86"/>
      <c r="U7" s="86"/>
      <c r="V7" s="86"/>
      <c r="W7" s="86"/>
      <c r="X7" s="86"/>
      <c r="Y7" s="86"/>
      <c r="Z7" s="86"/>
      <c r="AA7" s="86"/>
      <c r="AB7" s="86"/>
      <c r="AC7" s="86"/>
      <c r="AD7" s="86"/>
      <c r="AE7" s="88"/>
      <c r="AF7" s="88"/>
      <c r="AG7" s="88"/>
      <c r="AH7" s="88"/>
      <c r="AI7" s="88"/>
    </row>
    <row r="8" spans="1:40" ht="19.5" customHeight="1">
      <c r="A8" s="84"/>
      <c r="B8" s="551"/>
      <c r="C8" s="85"/>
      <c r="D8" s="85"/>
      <c r="E8" s="1551"/>
      <c r="F8" s="86"/>
      <c r="G8" s="86"/>
      <c r="H8" s="1132"/>
      <c r="I8" s="86"/>
      <c r="J8" s="86"/>
      <c r="K8" s="86"/>
      <c r="L8" s="86"/>
      <c r="M8" s="86"/>
      <c r="N8" s="86"/>
      <c r="O8" s="86"/>
      <c r="P8" s="86"/>
      <c r="Q8" s="86"/>
      <c r="R8" s="86"/>
      <c r="S8" s="86"/>
      <c r="T8" s="86"/>
      <c r="U8" s="86"/>
      <c r="V8" s="86"/>
      <c r="W8" s="86"/>
      <c r="X8" s="86"/>
      <c r="Y8" s="86"/>
      <c r="Z8" s="86"/>
      <c r="AA8" s="86"/>
      <c r="AB8" s="86"/>
      <c r="AC8" s="86"/>
      <c r="AD8" s="86"/>
      <c r="AE8" s="88"/>
      <c r="AF8" s="88"/>
      <c r="AG8" s="88"/>
      <c r="AH8" s="88"/>
      <c r="AI8" s="88"/>
    </row>
    <row r="9" spans="1:40" ht="15.75" customHeight="1">
      <c r="A9" s="84"/>
      <c r="B9" s="50"/>
      <c r="C9" s="85"/>
      <c r="D9" s="85"/>
      <c r="E9" s="1526"/>
      <c r="F9" s="86"/>
      <c r="G9" s="86"/>
      <c r="H9" s="86"/>
      <c r="I9" s="86"/>
      <c r="J9" s="86"/>
      <c r="K9" s="86"/>
      <c r="L9" s="86"/>
      <c r="M9" s="86"/>
      <c r="N9" s="86"/>
      <c r="O9" s="86"/>
      <c r="P9" s="86"/>
      <c r="Q9" s="86"/>
      <c r="R9" s="86"/>
      <c r="S9" s="86"/>
      <c r="T9" s="86"/>
      <c r="U9" s="86"/>
      <c r="V9" s="86"/>
      <c r="W9" s="86"/>
      <c r="X9" s="86"/>
      <c r="Y9" s="86"/>
      <c r="Z9" s="86"/>
      <c r="AA9" s="86"/>
      <c r="AB9" s="86"/>
      <c r="AC9" s="2065" t="str">
        <f>'Cashflow Governmental'!$AB$12</f>
        <v>3 Months Ended June 30</v>
      </c>
      <c r="AD9" s="2065"/>
      <c r="AE9" s="2065"/>
      <c r="AF9" s="2065"/>
      <c r="AG9" s="2065"/>
      <c r="AH9" s="2065"/>
      <c r="AI9" s="2065"/>
      <c r="AJ9" s="2065"/>
      <c r="AK9" s="2065"/>
      <c r="AL9" s="2065"/>
    </row>
    <row r="10" spans="1:40" ht="15.75">
      <c r="A10" s="91"/>
      <c r="B10" s="91"/>
      <c r="C10" s="91"/>
      <c r="D10" s="91"/>
      <c r="E10" s="314" t="str">
        <f>'Cashflow Governmental'!C13</f>
        <v>2026</v>
      </c>
      <c r="F10" s="323"/>
      <c r="G10" s="323"/>
      <c r="H10" s="323"/>
      <c r="I10" s="323"/>
      <c r="J10" s="323"/>
      <c r="K10" s="323"/>
      <c r="L10" s="323"/>
      <c r="M10" s="323"/>
      <c r="N10" s="323"/>
      <c r="O10" s="323"/>
      <c r="P10" s="323"/>
      <c r="Q10" s="323"/>
      <c r="R10" s="323"/>
      <c r="S10" s="323"/>
      <c r="T10" s="323"/>
      <c r="U10" s="323"/>
      <c r="V10" s="323"/>
      <c r="W10" s="314">
        <f>'Cashflow Governmental'!U13</f>
        <v>2027</v>
      </c>
      <c r="X10" s="323"/>
      <c r="Y10" s="323"/>
      <c r="Z10" s="323"/>
      <c r="AA10" s="323"/>
      <c r="AB10" s="323"/>
      <c r="AC10" s="323"/>
      <c r="AD10" s="323"/>
      <c r="AE10" s="323"/>
      <c r="AF10" s="323"/>
      <c r="AG10" s="323"/>
      <c r="AH10" s="323"/>
      <c r="AI10" s="323"/>
      <c r="AJ10" s="320" t="s">
        <v>110</v>
      </c>
      <c r="AK10" s="320"/>
      <c r="AL10" s="318" t="s">
        <v>111</v>
      </c>
      <c r="AM10" s="3"/>
    </row>
    <row r="11" spans="1:40" ht="15.75">
      <c r="A11" s="291"/>
      <c r="B11" s="291"/>
      <c r="C11" s="291"/>
      <c r="D11" s="291"/>
      <c r="E11" s="1217" t="s">
        <v>329</v>
      </c>
      <c r="F11" s="3"/>
      <c r="G11" s="1217" t="s">
        <v>330</v>
      </c>
      <c r="H11" s="3"/>
      <c r="I11" s="1217" t="s">
        <v>331</v>
      </c>
      <c r="J11" s="3"/>
      <c r="K11" s="1217" t="s">
        <v>332</v>
      </c>
      <c r="L11" s="3"/>
      <c r="M11" s="1217" t="s">
        <v>333</v>
      </c>
      <c r="N11" s="3"/>
      <c r="O11" s="1217" t="s">
        <v>445</v>
      </c>
      <c r="P11" s="3"/>
      <c r="Q11" s="1217" t="s">
        <v>446</v>
      </c>
      <c r="R11" s="3"/>
      <c r="S11" s="1217" t="s">
        <v>336</v>
      </c>
      <c r="T11" s="3"/>
      <c r="U11" s="1217" t="s">
        <v>337</v>
      </c>
      <c r="V11" s="3"/>
      <c r="W11" s="1217" t="s">
        <v>338</v>
      </c>
      <c r="X11" s="3"/>
      <c r="Y11" s="1217" t="s">
        <v>339</v>
      </c>
      <c r="Z11" s="3"/>
      <c r="AA11" s="1217" t="s">
        <v>447</v>
      </c>
      <c r="AB11" s="3"/>
      <c r="AC11" s="3"/>
      <c r="AD11" s="1217" t="str">
        <f>'Cashflow Governmental'!AB14</f>
        <v>2026</v>
      </c>
      <c r="AE11" s="3" t="s">
        <v>103</v>
      </c>
      <c r="AF11" s="3"/>
      <c r="AG11" s="1217" t="str">
        <f>'Cashflow Governmental'!AE14</f>
        <v>2025</v>
      </c>
      <c r="AH11" s="52"/>
      <c r="AI11" s="52"/>
      <c r="AJ11" s="415" t="s">
        <v>112</v>
      </c>
      <c r="AK11" s="320"/>
      <c r="AL11" s="415" t="s">
        <v>113</v>
      </c>
      <c r="AM11" s="3"/>
    </row>
    <row r="12" spans="1:40" ht="5.25" customHeight="1">
      <c r="A12" s="291"/>
      <c r="B12" s="3"/>
      <c r="C12" s="3"/>
      <c r="D12" s="291"/>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40"/>
    </row>
    <row r="13" spans="1:40" ht="15.75">
      <c r="A13" s="291"/>
      <c r="B13" s="1216" t="s">
        <v>556</v>
      </c>
      <c r="C13" s="3"/>
      <c r="E13" s="82">
        <v>-276.7</v>
      </c>
      <c r="F13" s="268"/>
      <c r="G13" s="82">
        <f>E81</f>
        <v>-266.10000000000002</v>
      </c>
      <c r="H13" s="82"/>
      <c r="I13" s="82">
        <f>G81</f>
        <v>-266.7</v>
      </c>
      <c r="J13" s="268"/>
      <c r="K13" s="82"/>
      <c r="L13" s="268"/>
      <c r="M13" s="82"/>
      <c r="N13" s="268"/>
      <c r="O13" s="82"/>
      <c r="P13" s="268"/>
      <c r="Q13" s="82"/>
      <c r="R13" s="274"/>
      <c r="S13" s="82"/>
      <c r="T13" s="20"/>
      <c r="U13" s="82"/>
      <c r="V13" s="20"/>
      <c r="W13" s="82"/>
      <c r="X13" s="20"/>
      <c r="Y13" s="82"/>
      <c r="Z13" s="20"/>
      <c r="AA13" s="82"/>
      <c r="AB13" s="268"/>
      <c r="AC13" s="667"/>
      <c r="AD13" s="1759">
        <f>E13</f>
        <v>-276.7</v>
      </c>
      <c r="AE13" s="268"/>
      <c r="AF13" s="1047"/>
      <c r="AG13" s="1943">
        <v>-378.7</v>
      </c>
      <c r="AH13" s="268"/>
      <c r="AI13" s="92"/>
      <c r="AJ13" s="1759">
        <f>+AD13-AG13</f>
        <v>102</v>
      </c>
      <c r="AL13" s="74">
        <f>-ROUND((+AJ13/AG13),3)</f>
        <v>0.26900000000000002</v>
      </c>
      <c r="AM13" s="1627"/>
      <c r="AN13" s="1627"/>
    </row>
    <row r="14" spans="1:40" ht="15.75">
      <c r="A14" s="291"/>
      <c r="B14" s="3"/>
      <c r="C14" s="3"/>
      <c r="D14" s="291"/>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667"/>
      <c r="AD14" s="268"/>
      <c r="AE14" s="268"/>
      <c r="AF14" s="1047"/>
      <c r="AG14" s="268"/>
      <c r="AH14" s="268"/>
      <c r="AI14" s="92"/>
      <c r="AM14" s="1627"/>
      <c r="AN14" s="1627"/>
    </row>
    <row r="15" spans="1:40" ht="15.75">
      <c r="A15" s="291"/>
      <c r="B15" s="3" t="s">
        <v>557</v>
      </c>
      <c r="C15" s="291"/>
      <c r="D15" s="291"/>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667"/>
      <c r="AD15" s="268"/>
      <c r="AE15" s="268"/>
      <c r="AF15" s="1047"/>
      <c r="AG15" s="268"/>
      <c r="AH15" s="268"/>
      <c r="AI15" s="92"/>
      <c r="AM15" s="1627"/>
      <c r="AN15" s="1627"/>
    </row>
    <row r="16" spans="1:40" ht="15.75">
      <c r="A16" s="291"/>
      <c r="B16" s="350" t="s">
        <v>383</v>
      </c>
      <c r="C16" s="291"/>
      <c r="D16" s="291"/>
      <c r="E16" s="289"/>
      <c r="F16" s="264"/>
      <c r="G16" s="289"/>
      <c r="H16" s="264"/>
      <c r="I16" s="289"/>
      <c r="J16" s="264"/>
      <c r="K16" s="289"/>
      <c r="L16" s="264"/>
      <c r="M16" s="264"/>
      <c r="N16" s="264"/>
      <c r="O16" s="289"/>
      <c r="P16" s="264"/>
      <c r="Q16" s="289"/>
      <c r="R16" s="264"/>
      <c r="S16" s="289"/>
      <c r="T16" s="264"/>
      <c r="U16" s="289"/>
      <c r="V16" s="264"/>
      <c r="W16" s="289"/>
      <c r="X16" s="264"/>
      <c r="Y16" s="289"/>
      <c r="Z16" s="264"/>
      <c r="AA16" s="289"/>
      <c r="AB16" s="264"/>
      <c r="AC16" s="523"/>
      <c r="AD16" s="1815"/>
      <c r="AE16" s="1232"/>
      <c r="AF16" s="264"/>
      <c r="AG16" s="264"/>
      <c r="AH16" s="287"/>
      <c r="AI16" s="97"/>
      <c r="AJ16" s="287"/>
      <c r="AK16" s="41"/>
      <c r="AL16" s="96"/>
      <c r="AM16" s="1627"/>
      <c r="AN16" s="1627"/>
    </row>
    <row r="17" spans="1:40" ht="15.75">
      <c r="A17" s="291"/>
      <c r="B17" s="350" t="s">
        <v>384</v>
      </c>
      <c r="C17" s="291"/>
      <c r="D17" s="291"/>
      <c r="E17" s="289"/>
      <c r="F17" s="264"/>
      <c r="G17" s="289"/>
      <c r="H17" s="264"/>
      <c r="I17" s="289"/>
      <c r="J17" s="264"/>
      <c r="K17" s="289"/>
      <c r="L17" s="264"/>
      <c r="M17" s="264"/>
      <c r="N17" s="264"/>
      <c r="O17" s="289"/>
      <c r="P17" s="264"/>
      <c r="Q17" s="289"/>
      <c r="R17" s="264"/>
      <c r="S17" s="289"/>
      <c r="T17" s="264"/>
      <c r="U17" s="289"/>
      <c r="V17" s="264"/>
      <c r="W17" s="289"/>
      <c r="X17" s="264"/>
      <c r="Y17" s="289"/>
      <c r="Z17" s="264"/>
      <c r="AA17" s="289"/>
      <c r="AB17" s="264"/>
      <c r="AC17" s="523"/>
      <c r="AD17" s="1815"/>
      <c r="AE17" s="1232"/>
      <c r="AF17" s="264"/>
      <c r="AG17" s="264"/>
      <c r="AH17" s="287"/>
      <c r="AI17" s="97"/>
      <c r="AJ17" s="287"/>
      <c r="AK17" s="41"/>
      <c r="AL17" s="374"/>
      <c r="AM17" s="1627"/>
      <c r="AN17" s="1627"/>
    </row>
    <row r="18" spans="1:40">
      <c r="A18" s="291"/>
      <c r="B18" s="350" t="s">
        <v>1474</v>
      </c>
      <c r="C18" s="291"/>
      <c r="D18" s="291"/>
      <c r="E18" s="264">
        <v>0</v>
      </c>
      <c r="F18" s="289"/>
      <c r="G18" s="264">
        <v>0</v>
      </c>
      <c r="H18" s="289"/>
      <c r="I18" s="264">
        <f>$AD18-G18-E18</f>
        <v>0</v>
      </c>
      <c r="J18" s="264"/>
      <c r="K18" s="264"/>
      <c r="L18" s="264"/>
      <c r="M18" s="264"/>
      <c r="N18" s="264"/>
      <c r="O18" s="264"/>
      <c r="P18" s="264"/>
      <c r="Q18" s="264"/>
      <c r="R18" s="264"/>
      <c r="S18" s="289"/>
      <c r="T18" s="289"/>
      <c r="U18" s="289"/>
      <c r="V18" s="289"/>
      <c r="W18" s="289"/>
      <c r="X18" s="289"/>
      <c r="Y18" s="289"/>
      <c r="Z18" s="289"/>
      <c r="AA18" s="289"/>
      <c r="AB18" s="264"/>
      <c r="AC18" s="523"/>
      <c r="AD18" s="531">
        <v>0</v>
      </c>
      <c r="AE18" s="264"/>
      <c r="AF18" s="524" t="s">
        <v>103</v>
      </c>
      <c r="AG18" s="531">
        <v>0</v>
      </c>
      <c r="AH18" s="287"/>
      <c r="AI18" s="1760"/>
      <c r="AJ18" s="287">
        <f>ROUND(AD18-AG18,1)</f>
        <v>0</v>
      </c>
      <c r="AK18" s="268"/>
      <c r="AL18" s="266">
        <f>ROUND(IF(AG18=0,0,AJ18/ABS(AG18)),3)</f>
        <v>0</v>
      </c>
      <c r="AM18" s="1627"/>
      <c r="AN18" s="1627"/>
    </row>
    <row r="19" spans="1:40" s="291" customFormat="1">
      <c r="B19" s="350" t="s">
        <v>561</v>
      </c>
      <c r="E19" s="264">
        <v>0</v>
      </c>
      <c r="F19" s="289"/>
      <c r="G19" s="264">
        <v>0</v>
      </c>
      <c r="H19" s="289"/>
      <c r="I19" s="264">
        <f t="shared" ref="I19:I41" si="0">$AD19-G19-E19</f>
        <v>0</v>
      </c>
      <c r="J19" s="264"/>
      <c r="K19" s="264"/>
      <c r="L19" s="264"/>
      <c r="M19" s="264"/>
      <c r="N19" s="264"/>
      <c r="O19" s="264"/>
      <c r="P19" s="264"/>
      <c r="Q19" s="264"/>
      <c r="R19" s="264"/>
      <c r="S19" s="289"/>
      <c r="T19" s="289"/>
      <c r="U19" s="289"/>
      <c r="V19" s="289"/>
      <c r="W19" s="289"/>
      <c r="X19" s="289"/>
      <c r="Y19" s="289"/>
      <c r="Z19" s="289"/>
      <c r="AA19" s="289"/>
      <c r="AB19" s="264"/>
      <c r="AC19" s="523"/>
      <c r="AD19" s="531">
        <v>0</v>
      </c>
      <c r="AE19" s="264"/>
      <c r="AF19" s="524" t="s">
        <v>103</v>
      </c>
      <c r="AG19" s="531">
        <v>0</v>
      </c>
      <c r="AH19" s="287"/>
      <c r="AI19" s="1760"/>
      <c r="AJ19" s="287">
        <f>ROUND(AD19-AG19,1)</f>
        <v>0</v>
      </c>
      <c r="AK19" s="268"/>
      <c r="AL19" s="266">
        <f>ROUND(IF(AG19=0,0,AJ19/ABS(AG19)),3)</f>
        <v>0</v>
      </c>
      <c r="AM19" s="1627"/>
      <c r="AN19" s="1627"/>
    </row>
    <row r="20" spans="1:40" s="291" customFormat="1" ht="15.75">
      <c r="B20" s="350" t="s">
        <v>387</v>
      </c>
      <c r="E20" s="264"/>
      <c r="F20" s="264"/>
      <c r="G20" s="264"/>
      <c r="H20" s="264"/>
      <c r="I20" s="264"/>
      <c r="J20" s="264"/>
      <c r="K20" s="264"/>
      <c r="L20" s="264"/>
      <c r="M20" s="264"/>
      <c r="N20" s="264"/>
      <c r="O20" s="264"/>
      <c r="P20" s="264"/>
      <c r="Q20" s="264"/>
      <c r="R20" s="264"/>
      <c r="S20" s="289"/>
      <c r="T20" s="264"/>
      <c r="U20" s="289"/>
      <c r="V20" s="264"/>
      <c r="W20" s="289"/>
      <c r="X20" s="264"/>
      <c r="Y20" s="289"/>
      <c r="Z20" s="264"/>
      <c r="AA20" s="289"/>
      <c r="AB20" s="264"/>
      <c r="AC20" s="523"/>
      <c r="AD20" s="264" t="s">
        <v>103</v>
      </c>
      <c r="AE20" s="1232"/>
      <c r="AF20" s="264"/>
      <c r="AG20" s="264" t="s">
        <v>103</v>
      </c>
      <c r="AH20" s="287"/>
      <c r="AI20" s="97"/>
      <c r="AJ20" s="287" t="s">
        <v>103</v>
      </c>
      <c r="AK20" s="268"/>
      <c r="AL20" s="374" t="s">
        <v>103</v>
      </c>
      <c r="AM20" s="1627"/>
      <c r="AN20" s="1627"/>
    </row>
    <row r="21" spans="1:40" s="291" customFormat="1" ht="15.75">
      <c r="B21" s="350" t="s">
        <v>483</v>
      </c>
      <c r="E21" s="264">
        <v>0</v>
      </c>
      <c r="F21" s="264"/>
      <c r="G21" s="264">
        <v>0</v>
      </c>
      <c r="H21" s="264"/>
      <c r="I21" s="264">
        <f t="shared" si="0"/>
        <v>0</v>
      </c>
      <c r="J21" s="264"/>
      <c r="K21" s="264"/>
      <c r="L21" s="264"/>
      <c r="M21" s="264"/>
      <c r="N21" s="264"/>
      <c r="O21" s="264"/>
      <c r="P21" s="264"/>
      <c r="Q21" s="264"/>
      <c r="R21" s="264"/>
      <c r="S21" s="289"/>
      <c r="T21" s="289"/>
      <c r="U21" s="289"/>
      <c r="V21" s="264"/>
      <c r="W21" s="289"/>
      <c r="X21" s="264"/>
      <c r="Y21" s="289"/>
      <c r="Z21" s="264"/>
      <c r="AA21" s="289"/>
      <c r="AB21" s="264"/>
      <c r="AC21" s="523"/>
      <c r="AD21" s="531">
        <v>0</v>
      </c>
      <c r="AE21" s="264"/>
      <c r="AF21" s="524" t="s">
        <v>103</v>
      </c>
      <c r="AG21" s="531">
        <v>0</v>
      </c>
      <c r="AH21" s="287"/>
      <c r="AI21" s="97"/>
      <c r="AJ21" s="287">
        <f t="shared" ref="AJ21:AJ41" si="1">ROUND(AD21-AG21,1)</f>
        <v>0</v>
      </c>
      <c r="AK21" s="268"/>
      <c r="AL21" s="374">
        <f>ROUND(IF(AG21=0,0,AJ21/ABS(AG21)),3)</f>
        <v>0</v>
      </c>
      <c r="AM21" s="1627"/>
      <c r="AN21" s="1627"/>
    </row>
    <row r="22" spans="1:40" s="291" customFormat="1" ht="15.75">
      <c r="B22" s="350" t="s">
        <v>392</v>
      </c>
      <c r="E22" s="264"/>
      <c r="F22" s="264"/>
      <c r="G22" s="264"/>
      <c r="H22" s="264"/>
      <c r="I22" s="264"/>
      <c r="J22" s="264"/>
      <c r="K22" s="264"/>
      <c r="L22" s="264"/>
      <c r="M22" s="264"/>
      <c r="N22" s="264"/>
      <c r="O22" s="264"/>
      <c r="P22" s="264"/>
      <c r="Q22" s="264"/>
      <c r="R22" s="264"/>
      <c r="S22" s="289"/>
      <c r="T22" s="264"/>
      <c r="U22" s="289"/>
      <c r="V22" s="264"/>
      <c r="W22" s="289"/>
      <c r="X22" s="264"/>
      <c r="Y22" s="289"/>
      <c r="Z22" s="264"/>
      <c r="AA22" s="289"/>
      <c r="AB22" s="264"/>
      <c r="AC22" s="523"/>
      <c r="AD22" s="264" t="s">
        <v>103</v>
      </c>
      <c r="AE22" s="1232"/>
      <c r="AF22" s="264"/>
      <c r="AG22" s="264" t="s">
        <v>103</v>
      </c>
      <c r="AH22" s="287"/>
      <c r="AI22" s="97"/>
      <c r="AJ22" s="287" t="s">
        <v>103</v>
      </c>
      <c r="AK22" s="268"/>
      <c r="AL22" s="374" t="s">
        <v>103</v>
      </c>
      <c r="AM22" s="1627"/>
      <c r="AN22" s="1627"/>
    </row>
    <row r="23" spans="1:40" s="291" customFormat="1" ht="15.75">
      <c r="B23" s="350" t="s">
        <v>486</v>
      </c>
      <c r="E23" s="264">
        <v>0</v>
      </c>
      <c r="F23" s="264"/>
      <c r="G23" s="264">
        <v>0</v>
      </c>
      <c r="H23" s="264"/>
      <c r="I23" s="264">
        <f t="shared" si="0"/>
        <v>0</v>
      </c>
      <c r="J23" s="264"/>
      <c r="K23" s="264"/>
      <c r="L23" s="264"/>
      <c r="M23" s="264"/>
      <c r="N23" s="264"/>
      <c r="O23" s="264"/>
      <c r="P23" s="264"/>
      <c r="Q23" s="264"/>
      <c r="R23" s="264"/>
      <c r="S23" s="289"/>
      <c r="T23" s="289"/>
      <c r="U23" s="289"/>
      <c r="V23" s="264"/>
      <c r="W23" s="289"/>
      <c r="X23" s="264"/>
      <c r="Y23" s="289"/>
      <c r="Z23" s="264"/>
      <c r="AA23" s="289"/>
      <c r="AB23" s="264"/>
      <c r="AC23" s="523"/>
      <c r="AD23" s="531">
        <v>0</v>
      </c>
      <c r="AE23" s="264"/>
      <c r="AF23" s="524" t="s">
        <v>103</v>
      </c>
      <c r="AG23" s="531">
        <v>0</v>
      </c>
      <c r="AH23" s="287"/>
      <c r="AI23" s="97"/>
      <c r="AJ23" s="287">
        <f t="shared" si="1"/>
        <v>0</v>
      </c>
      <c r="AK23" s="268"/>
      <c r="AL23" s="374">
        <f t="shared" ref="AL23:AL27" si="2">ROUND(IF(AG23=0,0,AJ23/ABS(AG23)),3)</f>
        <v>0</v>
      </c>
      <c r="AM23" s="1627"/>
      <c r="AN23" s="1627"/>
    </row>
    <row r="24" spans="1:40" s="291" customFormat="1" ht="15.75">
      <c r="B24" s="350" t="s">
        <v>562</v>
      </c>
      <c r="E24" s="264">
        <v>0</v>
      </c>
      <c r="F24" s="264"/>
      <c r="G24" s="264">
        <v>0</v>
      </c>
      <c r="H24" s="264"/>
      <c r="I24" s="264">
        <f t="shared" si="0"/>
        <v>0</v>
      </c>
      <c r="J24" s="264"/>
      <c r="K24" s="264"/>
      <c r="L24" s="264"/>
      <c r="M24" s="264"/>
      <c r="N24" s="264"/>
      <c r="O24" s="264"/>
      <c r="P24" s="264"/>
      <c r="Q24" s="264"/>
      <c r="R24" s="264"/>
      <c r="S24" s="289"/>
      <c r="T24" s="289"/>
      <c r="U24" s="289"/>
      <c r="V24" s="264"/>
      <c r="W24" s="289"/>
      <c r="X24" s="264"/>
      <c r="Y24" s="289"/>
      <c r="Z24" s="264"/>
      <c r="AA24" s="289"/>
      <c r="AB24" s="264"/>
      <c r="AC24" s="523"/>
      <c r="AD24" s="531">
        <v>0</v>
      </c>
      <c r="AE24" s="264"/>
      <c r="AF24" s="524" t="s">
        <v>103</v>
      </c>
      <c r="AG24" s="531">
        <v>0</v>
      </c>
      <c r="AH24" s="287"/>
      <c r="AI24" s="97"/>
      <c r="AJ24" s="287">
        <f>ROUND(AD24-AG24,1)</f>
        <v>0</v>
      </c>
      <c r="AK24" s="268"/>
      <c r="AL24" s="374">
        <f t="shared" si="2"/>
        <v>0</v>
      </c>
      <c r="AM24" s="1627"/>
      <c r="AN24" s="1627"/>
    </row>
    <row r="25" spans="1:40" s="291" customFormat="1" ht="15.75">
      <c r="B25" s="350" t="s">
        <v>489</v>
      </c>
      <c r="E25" s="264">
        <v>0</v>
      </c>
      <c r="F25" s="264"/>
      <c r="G25" s="264">
        <v>0</v>
      </c>
      <c r="H25" s="264"/>
      <c r="I25" s="264">
        <f t="shared" si="0"/>
        <v>0</v>
      </c>
      <c r="J25" s="264"/>
      <c r="K25" s="264"/>
      <c r="L25" s="264"/>
      <c r="M25" s="264"/>
      <c r="N25" s="264"/>
      <c r="O25" s="264"/>
      <c r="P25" s="264"/>
      <c r="Q25" s="264"/>
      <c r="R25" s="264"/>
      <c r="S25" s="289"/>
      <c r="T25" s="289"/>
      <c r="U25" s="289"/>
      <c r="V25" s="264"/>
      <c r="W25" s="289"/>
      <c r="X25" s="264"/>
      <c r="Y25" s="289"/>
      <c r="Z25" s="264"/>
      <c r="AA25" s="289"/>
      <c r="AB25" s="264"/>
      <c r="AC25" s="523"/>
      <c r="AD25" s="531">
        <v>0</v>
      </c>
      <c r="AE25" s="264"/>
      <c r="AF25" s="524" t="s">
        <v>103</v>
      </c>
      <c r="AG25" s="531">
        <v>0</v>
      </c>
      <c r="AH25" s="287"/>
      <c r="AI25" s="97"/>
      <c r="AJ25" s="287">
        <f t="shared" si="1"/>
        <v>0</v>
      </c>
      <c r="AK25" s="268"/>
      <c r="AL25" s="374">
        <f t="shared" si="2"/>
        <v>0</v>
      </c>
      <c r="AM25" s="1627"/>
      <c r="AN25" s="1627"/>
    </row>
    <row r="26" spans="1:40" s="291" customFormat="1" ht="15.75">
      <c r="B26" s="350" t="s">
        <v>490</v>
      </c>
      <c r="E26" s="264">
        <v>0</v>
      </c>
      <c r="F26" s="264"/>
      <c r="G26" s="264">
        <v>0</v>
      </c>
      <c r="H26" s="264"/>
      <c r="I26" s="264">
        <f t="shared" si="0"/>
        <v>0</v>
      </c>
      <c r="J26" s="264"/>
      <c r="K26" s="264"/>
      <c r="L26" s="264"/>
      <c r="M26" s="264"/>
      <c r="N26" s="264"/>
      <c r="O26" s="264"/>
      <c r="P26" s="264"/>
      <c r="Q26" s="264"/>
      <c r="R26" s="264"/>
      <c r="S26" s="289"/>
      <c r="T26" s="289"/>
      <c r="U26" s="289"/>
      <c r="V26" s="264"/>
      <c r="W26" s="289"/>
      <c r="X26" s="264"/>
      <c r="Y26" s="289"/>
      <c r="Z26" s="264"/>
      <c r="AA26" s="289"/>
      <c r="AB26" s="264"/>
      <c r="AC26" s="523"/>
      <c r="AD26" s="531">
        <v>0</v>
      </c>
      <c r="AE26" s="264"/>
      <c r="AF26" s="524" t="s">
        <v>103</v>
      </c>
      <c r="AG26" s="531">
        <v>0</v>
      </c>
      <c r="AH26" s="287"/>
      <c r="AI26" s="97"/>
      <c r="AJ26" s="287">
        <f t="shared" si="1"/>
        <v>0</v>
      </c>
      <c r="AK26" s="268"/>
      <c r="AL26" s="374">
        <f t="shared" si="2"/>
        <v>0</v>
      </c>
      <c r="AM26" s="1627"/>
      <c r="AN26" s="1627"/>
    </row>
    <row r="27" spans="1:40" s="291" customFormat="1" ht="15.75">
      <c r="B27" s="350" t="s">
        <v>400</v>
      </c>
      <c r="E27" s="264">
        <v>0</v>
      </c>
      <c r="F27" s="264"/>
      <c r="G27" s="264">
        <v>0</v>
      </c>
      <c r="H27" s="264"/>
      <c r="I27" s="264">
        <f t="shared" si="0"/>
        <v>0</v>
      </c>
      <c r="J27" s="264"/>
      <c r="K27" s="264"/>
      <c r="L27" s="264"/>
      <c r="M27" s="264"/>
      <c r="N27" s="264"/>
      <c r="O27" s="264"/>
      <c r="P27" s="264"/>
      <c r="Q27" s="264"/>
      <c r="R27" s="264"/>
      <c r="S27" s="289"/>
      <c r="T27" s="289"/>
      <c r="U27" s="289"/>
      <c r="V27" s="264"/>
      <c r="W27" s="289"/>
      <c r="X27" s="264"/>
      <c r="Y27" s="289"/>
      <c r="Z27" s="264"/>
      <c r="AA27" s="289"/>
      <c r="AB27" s="264"/>
      <c r="AC27" s="523"/>
      <c r="AD27" s="531">
        <v>0</v>
      </c>
      <c r="AE27" s="1232"/>
      <c r="AF27" s="264" t="s">
        <v>103</v>
      </c>
      <c r="AG27" s="531">
        <v>0</v>
      </c>
      <c r="AH27" s="287"/>
      <c r="AI27" s="97"/>
      <c r="AJ27" s="287">
        <f t="shared" si="1"/>
        <v>0</v>
      </c>
      <c r="AK27" s="268"/>
      <c r="AL27" s="374">
        <f t="shared" si="2"/>
        <v>0</v>
      </c>
      <c r="AM27" s="1627"/>
      <c r="AN27" s="1627"/>
    </row>
    <row r="28" spans="1:40" s="291" customFormat="1" ht="15.75">
      <c r="B28" s="350" t="s">
        <v>406</v>
      </c>
      <c r="E28" s="264">
        <v>0.1</v>
      </c>
      <c r="F28" s="264"/>
      <c r="G28" s="264">
        <v>0.1</v>
      </c>
      <c r="H28" s="264"/>
      <c r="I28" s="264">
        <f t="shared" si="0"/>
        <v>0.10000000000000003</v>
      </c>
      <c r="J28" s="264"/>
      <c r="K28" s="264"/>
      <c r="L28" s="264"/>
      <c r="M28" s="264"/>
      <c r="N28" s="264"/>
      <c r="O28" s="264"/>
      <c r="P28" s="264"/>
      <c r="Q28" s="264"/>
      <c r="R28" s="264"/>
      <c r="S28" s="289"/>
      <c r="T28" s="289"/>
      <c r="U28" s="289"/>
      <c r="V28" s="264"/>
      <c r="W28" s="289"/>
      <c r="X28" s="264"/>
      <c r="Y28" s="289"/>
      <c r="Z28" s="264"/>
      <c r="AA28" s="289"/>
      <c r="AB28" s="264"/>
      <c r="AC28" s="523"/>
      <c r="AD28" s="531">
        <v>0.30000000000000004</v>
      </c>
      <c r="AE28" s="1232"/>
      <c r="AF28" s="264" t="s">
        <v>103</v>
      </c>
      <c r="AG28" s="531">
        <v>0.5</v>
      </c>
      <c r="AH28" s="287"/>
      <c r="AI28" s="97"/>
      <c r="AJ28" s="287">
        <f t="shared" si="1"/>
        <v>-0.2</v>
      </c>
      <c r="AK28" s="268"/>
      <c r="AL28" s="2014">
        <f>ROUND(IF(AG28=0,1,AJ28/ABS(AG28)),3)</f>
        <v>-0.4</v>
      </c>
      <c r="AM28" s="1627"/>
      <c r="AN28" s="1627"/>
    </row>
    <row r="29" spans="1:40" ht="15.75">
      <c r="A29" s="291"/>
      <c r="B29" s="350" t="s">
        <v>407</v>
      </c>
      <c r="C29" s="291"/>
      <c r="D29" s="291"/>
      <c r="E29" s="264">
        <v>0</v>
      </c>
      <c r="F29" s="264"/>
      <c r="G29" s="264">
        <v>0</v>
      </c>
      <c r="H29" s="264"/>
      <c r="I29" s="264">
        <f t="shared" si="0"/>
        <v>0</v>
      </c>
      <c r="J29" s="264"/>
      <c r="K29" s="264"/>
      <c r="L29" s="264"/>
      <c r="M29" s="264"/>
      <c r="N29" s="264"/>
      <c r="O29" s="264"/>
      <c r="P29" s="264"/>
      <c r="Q29" s="264"/>
      <c r="R29" s="264"/>
      <c r="S29" s="289"/>
      <c r="T29" s="289"/>
      <c r="U29" s="289"/>
      <c r="V29" s="264"/>
      <c r="W29" s="289"/>
      <c r="X29" s="264"/>
      <c r="Y29" s="289"/>
      <c r="Z29" s="264"/>
      <c r="AA29" s="289"/>
      <c r="AB29" s="264"/>
      <c r="AC29" s="523"/>
      <c r="AD29" s="531">
        <v>0</v>
      </c>
      <c r="AE29" s="264"/>
      <c r="AF29" s="524" t="s">
        <v>103</v>
      </c>
      <c r="AG29" s="531">
        <v>0</v>
      </c>
      <c r="AH29" s="287"/>
      <c r="AI29" s="97"/>
      <c r="AJ29" s="287">
        <f>ROUND(AD29-AG29,1)</f>
        <v>0</v>
      </c>
      <c r="AK29" s="41"/>
      <c r="AL29" s="374">
        <f>ROUND(IF(AG29=0,0,AJ29/ABS(AG29)),3)</f>
        <v>0</v>
      </c>
      <c r="AM29" s="1627"/>
      <c r="AN29" s="1627"/>
    </row>
    <row r="30" spans="1:40" s="291" customFormat="1" ht="15.75">
      <c r="B30" s="350" t="s">
        <v>408</v>
      </c>
      <c r="E30" s="264"/>
      <c r="F30" s="264"/>
      <c r="G30" s="264"/>
      <c r="H30" s="264"/>
      <c r="I30" s="264"/>
      <c r="J30" s="264"/>
      <c r="K30" s="264"/>
      <c r="L30" s="264"/>
      <c r="M30" s="264"/>
      <c r="N30" s="264"/>
      <c r="O30" s="264"/>
      <c r="P30" s="264"/>
      <c r="Q30" s="264"/>
      <c r="R30" s="264"/>
      <c r="S30" s="289"/>
      <c r="T30" s="264"/>
      <c r="U30" s="289"/>
      <c r="V30" s="264"/>
      <c r="W30" s="289"/>
      <c r="X30" s="264"/>
      <c r="Y30" s="289"/>
      <c r="Z30" s="264"/>
      <c r="AA30" s="289"/>
      <c r="AB30" s="264"/>
      <c r="AC30" s="523"/>
      <c r="AD30" s="289" t="s">
        <v>103</v>
      </c>
      <c r="AE30" s="1232"/>
      <c r="AF30" s="264"/>
      <c r="AG30" s="289" t="s">
        <v>103</v>
      </c>
      <c r="AH30" s="287"/>
      <c r="AI30" s="97"/>
      <c r="AJ30" s="287" t="s">
        <v>103</v>
      </c>
      <c r="AK30" s="268"/>
      <c r="AL30" s="374" t="s">
        <v>103</v>
      </c>
      <c r="AM30" s="1627"/>
      <c r="AN30" s="1627"/>
    </row>
    <row r="31" spans="1:40" s="291" customFormat="1" ht="15.75">
      <c r="B31" s="350" t="s">
        <v>494</v>
      </c>
      <c r="E31" s="264">
        <v>0</v>
      </c>
      <c r="F31" s="264"/>
      <c r="G31" s="264">
        <v>0</v>
      </c>
      <c r="H31" s="264"/>
      <c r="I31" s="264">
        <f t="shared" si="0"/>
        <v>0</v>
      </c>
      <c r="J31" s="264"/>
      <c r="K31" s="264"/>
      <c r="L31" s="264"/>
      <c r="M31" s="264"/>
      <c r="N31" s="264"/>
      <c r="O31" s="264"/>
      <c r="P31" s="264"/>
      <c r="Q31" s="264"/>
      <c r="R31" s="264"/>
      <c r="S31" s="289"/>
      <c r="T31" s="289"/>
      <c r="U31" s="289"/>
      <c r="V31" s="264"/>
      <c r="W31" s="289"/>
      <c r="X31" s="264"/>
      <c r="Y31" s="289"/>
      <c r="Z31" s="264"/>
      <c r="AA31" s="289"/>
      <c r="AB31" s="264"/>
      <c r="AC31" s="523"/>
      <c r="AD31" s="531">
        <v>0</v>
      </c>
      <c r="AE31" s="264"/>
      <c r="AF31" s="524"/>
      <c r="AG31" s="531">
        <v>0</v>
      </c>
      <c r="AH31" s="287"/>
      <c r="AI31" s="97"/>
      <c r="AJ31" s="287">
        <f t="shared" si="1"/>
        <v>0</v>
      </c>
      <c r="AK31" s="268"/>
      <c r="AL31" s="374">
        <f>ROUND(IF(AG31=0,0,AJ31/ABS(AG31)),3)</f>
        <v>0</v>
      </c>
      <c r="AM31" s="1627"/>
      <c r="AN31" s="1627"/>
    </row>
    <row r="32" spans="1:40" s="291" customFormat="1" ht="15.75">
      <c r="B32" s="350" t="s">
        <v>496</v>
      </c>
      <c r="E32" s="264">
        <v>0</v>
      </c>
      <c r="F32" s="289"/>
      <c r="G32" s="264">
        <v>0</v>
      </c>
      <c r="H32" s="289"/>
      <c r="I32" s="264">
        <f t="shared" si="0"/>
        <v>0</v>
      </c>
      <c r="J32" s="289"/>
      <c r="K32" s="264"/>
      <c r="L32" s="289"/>
      <c r="M32" s="264"/>
      <c r="N32" s="264"/>
      <c r="O32" s="264"/>
      <c r="P32" s="264"/>
      <c r="Q32" s="264"/>
      <c r="R32" s="264"/>
      <c r="S32" s="289"/>
      <c r="T32" s="289"/>
      <c r="U32" s="289"/>
      <c r="V32" s="264"/>
      <c r="W32" s="289"/>
      <c r="X32" s="264"/>
      <c r="Y32" s="289"/>
      <c r="Z32" s="264"/>
      <c r="AA32" s="289"/>
      <c r="AB32" s="264"/>
      <c r="AC32" s="523"/>
      <c r="AD32" s="531">
        <v>0</v>
      </c>
      <c r="AE32" s="264"/>
      <c r="AF32" s="524" t="s">
        <v>103</v>
      </c>
      <c r="AG32" s="531">
        <v>0</v>
      </c>
      <c r="AH32" s="287"/>
      <c r="AI32" s="97"/>
      <c r="AJ32" s="287">
        <f t="shared" si="1"/>
        <v>0</v>
      </c>
      <c r="AK32" s="268"/>
      <c r="AL32" s="374">
        <f>ROUND(IF(AG32=0,0,AJ32/ABS(AG32)),3)</f>
        <v>0</v>
      </c>
      <c r="AM32" s="1627"/>
      <c r="AN32" s="1627"/>
    </row>
    <row r="33" spans="1:40" s="291" customFormat="1" ht="15.75">
      <c r="B33" s="350" t="s">
        <v>497</v>
      </c>
      <c r="E33" s="264">
        <v>0</v>
      </c>
      <c r="F33" s="264"/>
      <c r="G33" s="264">
        <v>0</v>
      </c>
      <c r="H33" s="264"/>
      <c r="I33" s="264">
        <f t="shared" si="0"/>
        <v>0</v>
      </c>
      <c r="J33" s="264"/>
      <c r="K33" s="264"/>
      <c r="L33" s="264"/>
      <c r="M33" s="264"/>
      <c r="N33" s="264"/>
      <c r="O33" s="264"/>
      <c r="P33" s="264"/>
      <c r="Q33" s="264"/>
      <c r="R33" s="264"/>
      <c r="S33" s="289"/>
      <c r="T33" s="289"/>
      <c r="U33" s="289"/>
      <c r="V33" s="264"/>
      <c r="W33" s="289"/>
      <c r="X33" s="264"/>
      <c r="Y33" s="289"/>
      <c r="Z33" s="264"/>
      <c r="AA33" s="289"/>
      <c r="AB33" s="264"/>
      <c r="AC33" s="523"/>
      <c r="AD33" s="531">
        <v>0</v>
      </c>
      <c r="AE33" s="264"/>
      <c r="AF33" s="524" t="s">
        <v>103</v>
      </c>
      <c r="AG33" s="531">
        <v>0</v>
      </c>
      <c r="AH33" s="287"/>
      <c r="AI33" s="97"/>
      <c r="AJ33" s="287">
        <f>ROUND(AD33-AG33,1)</f>
        <v>0</v>
      </c>
      <c r="AK33" s="268"/>
      <c r="AL33" s="374">
        <f>ROUND(IF(AG33=0,0,AJ33/ABS(AG33)),3)</f>
        <v>0</v>
      </c>
      <c r="AM33" s="1627"/>
      <c r="AN33" s="1627"/>
    </row>
    <row r="34" spans="1:40" ht="15.75">
      <c r="A34" s="291"/>
      <c r="B34" s="350" t="s">
        <v>413</v>
      </c>
      <c r="C34" s="291"/>
      <c r="D34" s="291"/>
      <c r="E34" s="264">
        <v>0</v>
      </c>
      <c r="F34" s="264"/>
      <c r="G34" s="264">
        <v>0</v>
      </c>
      <c r="H34" s="264"/>
      <c r="I34" s="264">
        <f t="shared" si="0"/>
        <v>0</v>
      </c>
      <c r="J34" s="264"/>
      <c r="K34" s="264"/>
      <c r="L34" s="264"/>
      <c r="M34" s="264"/>
      <c r="N34" s="264"/>
      <c r="O34" s="264"/>
      <c r="P34" s="264"/>
      <c r="Q34" s="264"/>
      <c r="R34" s="264"/>
      <c r="S34" s="289"/>
      <c r="T34" s="289"/>
      <c r="U34" s="289"/>
      <c r="V34" s="264"/>
      <c r="W34" s="289"/>
      <c r="X34" s="264"/>
      <c r="Y34" s="289"/>
      <c r="Z34" s="264"/>
      <c r="AA34" s="289"/>
      <c r="AB34" s="264"/>
      <c r="AC34" s="523"/>
      <c r="AD34" s="531">
        <v>0</v>
      </c>
      <c r="AE34" s="264"/>
      <c r="AF34" s="524" t="s">
        <v>103</v>
      </c>
      <c r="AG34" s="531">
        <v>0</v>
      </c>
      <c r="AH34" s="287"/>
      <c r="AI34" s="97"/>
      <c r="AJ34" s="287">
        <f t="shared" si="1"/>
        <v>0</v>
      </c>
      <c r="AK34" s="41"/>
      <c r="AL34" s="266">
        <f>ROUND(IF(AG34=0,0,AJ34/ABS(AG34)),3)</f>
        <v>0</v>
      </c>
      <c r="AM34" s="1627"/>
      <c r="AN34" s="1627"/>
    </row>
    <row r="35" spans="1:40" ht="15.75">
      <c r="A35" s="291"/>
      <c r="B35" s="350" t="s">
        <v>414</v>
      </c>
      <c r="C35" s="291"/>
      <c r="D35" s="291"/>
      <c r="E35" s="264"/>
      <c r="F35" s="264"/>
      <c r="G35" s="264"/>
      <c r="H35" s="264"/>
      <c r="I35" s="264"/>
      <c r="J35" s="264"/>
      <c r="K35" s="264"/>
      <c r="L35" s="264"/>
      <c r="M35" s="264"/>
      <c r="N35" s="264"/>
      <c r="O35" s="264"/>
      <c r="P35" s="264"/>
      <c r="Q35" s="264"/>
      <c r="R35" s="264"/>
      <c r="S35" s="289"/>
      <c r="T35" s="264"/>
      <c r="U35" s="289"/>
      <c r="V35" s="264"/>
      <c r="W35" s="289"/>
      <c r="X35" s="264"/>
      <c r="Y35" s="289"/>
      <c r="Z35" s="264"/>
      <c r="AA35" s="289"/>
      <c r="AB35" s="264"/>
      <c r="AC35" s="523"/>
      <c r="AD35" s="264" t="s">
        <v>103</v>
      </c>
      <c r="AE35" s="1232"/>
      <c r="AF35" s="264"/>
      <c r="AG35" s="264" t="s">
        <v>103</v>
      </c>
      <c r="AH35" s="287"/>
      <c r="AI35" s="97"/>
      <c r="AJ35" s="287" t="s">
        <v>103</v>
      </c>
      <c r="AK35" s="41"/>
      <c r="AL35" s="374" t="s">
        <v>103</v>
      </c>
      <c r="AM35" s="1627"/>
      <c r="AN35" s="1627"/>
    </row>
    <row r="36" spans="1:40" ht="15.75">
      <c r="A36" s="291"/>
      <c r="B36" s="350" t="s">
        <v>498</v>
      </c>
      <c r="C36" s="291"/>
      <c r="D36" s="291"/>
      <c r="E36" s="264">
        <v>0</v>
      </c>
      <c r="F36" s="264"/>
      <c r="G36" s="264">
        <v>0</v>
      </c>
      <c r="H36" s="264"/>
      <c r="I36" s="264">
        <f t="shared" si="0"/>
        <v>0</v>
      </c>
      <c r="J36" s="264"/>
      <c r="K36" s="264"/>
      <c r="L36" s="264"/>
      <c r="M36" s="264"/>
      <c r="N36" s="264"/>
      <c r="O36" s="264"/>
      <c r="P36" s="264"/>
      <c r="Q36" s="264"/>
      <c r="R36" s="264"/>
      <c r="S36" s="289"/>
      <c r="T36" s="289"/>
      <c r="U36" s="289"/>
      <c r="V36" s="264"/>
      <c r="W36" s="289"/>
      <c r="X36" s="264"/>
      <c r="Y36" s="289"/>
      <c r="Z36" s="264"/>
      <c r="AA36" s="289"/>
      <c r="AB36" s="264"/>
      <c r="AC36" s="523"/>
      <c r="AD36" s="531">
        <v>0</v>
      </c>
      <c r="AE36" s="264"/>
      <c r="AF36" s="524" t="s">
        <v>103</v>
      </c>
      <c r="AG36" s="531">
        <v>0</v>
      </c>
      <c r="AH36" s="287"/>
      <c r="AI36" s="97"/>
      <c r="AJ36" s="287">
        <f t="shared" si="1"/>
        <v>0</v>
      </c>
      <c r="AK36" s="41"/>
      <c r="AL36" s="374">
        <f t="shared" ref="AL36:AL40" si="3">ROUND(IF(AG36=0,0,AJ36/ABS(AG36)),3)</f>
        <v>0</v>
      </c>
      <c r="AM36" s="1627"/>
      <c r="AN36" s="1627"/>
    </row>
    <row r="37" spans="1:40" ht="15.75">
      <c r="A37" s="291"/>
      <c r="B37" s="350" t="s">
        <v>500</v>
      </c>
      <c r="C37" s="291"/>
      <c r="D37" s="291"/>
      <c r="E37" s="264">
        <v>0</v>
      </c>
      <c r="F37" s="264"/>
      <c r="G37" s="264">
        <v>0</v>
      </c>
      <c r="H37" s="264"/>
      <c r="I37" s="264">
        <f t="shared" si="0"/>
        <v>0</v>
      </c>
      <c r="J37" s="264"/>
      <c r="K37" s="264"/>
      <c r="L37" s="264"/>
      <c r="M37" s="264"/>
      <c r="N37" s="264"/>
      <c r="O37" s="264"/>
      <c r="P37" s="264"/>
      <c r="Q37" s="264"/>
      <c r="R37" s="264"/>
      <c r="S37" s="289"/>
      <c r="T37" s="289"/>
      <c r="U37" s="289"/>
      <c r="V37" s="264"/>
      <c r="W37" s="289"/>
      <c r="X37" s="264"/>
      <c r="Y37" s="289"/>
      <c r="Z37" s="264"/>
      <c r="AA37" s="289"/>
      <c r="AB37" s="264"/>
      <c r="AC37" s="523"/>
      <c r="AD37" s="531">
        <v>0</v>
      </c>
      <c r="AE37" s="264"/>
      <c r="AF37" s="524" t="s">
        <v>103</v>
      </c>
      <c r="AG37" s="531">
        <v>0</v>
      </c>
      <c r="AH37" s="287"/>
      <c r="AI37" s="97"/>
      <c r="AJ37" s="287">
        <f t="shared" si="1"/>
        <v>0</v>
      </c>
      <c r="AK37" s="41"/>
      <c r="AL37" s="374">
        <f t="shared" si="3"/>
        <v>0</v>
      </c>
      <c r="AM37" s="1627"/>
      <c r="AN37" s="1627"/>
    </row>
    <row r="38" spans="1:40" ht="15.75">
      <c r="A38" s="291"/>
      <c r="B38" s="350" t="s">
        <v>501</v>
      </c>
      <c r="C38" s="291"/>
      <c r="D38" s="291"/>
      <c r="E38" s="264">
        <v>0</v>
      </c>
      <c r="F38" s="264"/>
      <c r="G38" s="264">
        <v>0</v>
      </c>
      <c r="H38" s="264"/>
      <c r="I38" s="264">
        <f t="shared" si="0"/>
        <v>0</v>
      </c>
      <c r="J38" s="264"/>
      <c r="K38" s="264"/>
      <c r="L38" s="264"/>
      <c r="M38" s="264"/>
      <c r="N38" s="264"/>
      <c r="O38" s="264"/>
      <c r="P38" s="264"/>
      <c r="Q38" s="264"/>
      <c r="R38" s="264"/>
      <c r="S38" s="289"/>
      <c r="T38" s="289"/>
      <c r="U38" s="289"/>
      <c r="V38" s="264"/>
      <c r="W38" s="289"/>
      <c r="X38" s="264"/>
      <c r="Y38" s="289"/>
      <c r="Z38" s="264"/>
      <c r="AA38" s="289"/>
      <c r="AB38" s="264"/>
      <c r="AC38" s="523"/>
      <c r="AD38" s="531">
        <v>0</v>
      </c>
      <c r="AE38" s="264"/>
      <c r="AF38" s="524" t="s">
        <v>103</v>
      </c>
      <c r="AG38" s="531">
        <v>0</v>
      </c>
      <c r="AH38" s="287"/>
      <c r="AI38" s="97"/>
      <c r="AJ38" s="287">
        <f t="shared" si="1"/>
        <v>0</v>
      </c>
      <c r="AK38" s="41"/>
      <c r="AL38" s="374">
        <f>ROUND(IF(AG38=0,0,AJ38/ABS(AG38)),3)</f>
        <v>0</v>
      </c>
      <c r="AM38" s="1627"/>
      <c r="AN38" s="1627"/>
    </row>
    <row r="39" spans="1:40" ht="15.75">
      <c r="A39" s="291"/>
      <c r="B39" s="350" t="s">
        <v>504</v>
      </c>
      <c r="C39" s="291"/>
      <c r="D39" s="291"/>
      <c r="E39" s="264">
        <v>0</v>
      </c>
      <c r="F39" s="264"/>
      <c r="G39" s="264">
        <v>0</v>
      </c>
      <c r="H39" s="264"/>
      <c r="I39" s="264">
        <f t="shared" si="0"/>
        <v>0</v>
      </c>
      <c r="J39" s="264"/>
      <c r="K39" s="264"/>
      <c r="L39" s="264"/>
      <c r="M39" s="264"/>
      <c r="N39" s="264"/>
      <c r="O39" s="264"/>
      <c r="P39" s="264"/>
      <c r="Q39" s="264"/>
      <c r="R39" s="264"/>
      <c r="S39" s="289"/>
      <c r="T39" s="289"/>
      <c r="U39" s="289"/>
      <c r="V39" s="264"/>
      <c r="W39" s="289"/>
      <c r="X39" s="264"/>
      <c r="Y39" s="289"/>
      <c r="Z39" s="264"/>
      <c r="AA39" s="289"/>
      <c r="AB39" s="264"/>
      <c r="AC39" s="523"/>
      <c r="AD39" s="531">
        <v>0</v>
      </c>
      <c r="AE39" s="264"/>
      <c r="AF39" s="524" t="s">
        <v>103</v>
      </c>
      <c r="AG39" s="531">
        <v>0</v>
      </c>
      <c r="AH39" s="287"/>
      <c r="AI39" s="97"/>
      <c r="AJ39" s="287">
        <f t="shared" si="1"/>
        <v>0</v>
      </c>
      <c r="AK39" s="41"/>
      <c r="AL39" s="374">
        <f t="shared" si="3"/>
        <v>0</v>
      </c>
      <c r="AM39" s="1627"/>
      <c r="AN39" s="1627"/>
    </row>
    <row r="40" spans="1:40" ht="15.75">
      <c r="A40" s="291"/>
      <c r="B40" s="350" t="s">
        <v>505</v>
      </c>
      <c r="C40" s="291"/>
      <c r="D40" s="291"/>
      <c r="E40" s="264">
        <v>0</v>
      </c>
      <c r="F40" s="264"/>
      <c r="G40" s="264">
        <v>0</v>
      </c>
      <c r="H40" s="264"/>
      <c r="I40" s="264">
        <f t="shared" si="0"/>
        <v>0</v>
      </c>
      <c r="J40" s="264"/>
      <c r="K40" s="264"/>
      <c r="L40" s="264"/>
      <c r="M40" s="264"/>
      <c r="N40" s="264"/>
      <c r="O40" s="264"/>
      <c r="P40" s="264"/>
      <c r="Q40" s="264"/>
      <c r="R40" s="264"/>
      <c r="S40" s="289"/>
      <c r="T40" s="289"/>
      <c r="U40" s="289"/>
      <c r="V40" s="264"/>
      <c r="W40" s="289"/>
      <c r="X40" s="264"/>
      <c r="Y40" s="289"/>
      <c r="Z40" s="264"/>
      <c r="AA40" s="289"/>
      <c r="AB40" s="264"/>
      <c r="AC40" s="523"/>
      <c r="AD40" s="531">
        <v>0</v>
      </c>
      <c r="AE40" s="264"/>
      <c r="AF40" s="524" t="s">
        <v>103</v>
      </c>
      <c r="AG40" s="531">
        <v>0</v>
      </c>
      <c r="AH40" s="287"/>
      <c r="AI40" s="97"/>
      <c r="AJ40" s="287">
        <f t="shared" si="1"/>
        <v>0</v>
      </c>
      <c r="AK40" s="41"/>
      <c r="AL40" s="374">
        <f t="shared" si="3"/>
        <v>0</v>
      </c>
      <c r="AM40" s="1627"/>
      <c r="AN40" s="1627"/>
    </row>
    <row r="41" spans="1:40" ht="15.75">
      <c r="A41" s="291"/>
      <c r="B41" s="350" t="s">
        <v>424</v>
      </c>
      <c r="C41" s="291"/>
      <c r="D41" s="291"/>
      <c r="E41" s="264">
        <v>0</v>
      </c>
      <c r="F41" s="264"/>
      <c r="G41" s="264">
        <v>0</v>
      </c>
      <c r="H41" s="264"/>
      <c r="I41" s="264">
        <f t="shared" si="0"/>
        <v>0</v>
      </c>
      <c r="J41" s="264"/>
      <c r="K41" s="264"/>
      <c r="L41" s="264"/>
      <c r="M41" s="264"/>
      <c r="N41" s="552"/>
      <c r="O41" s="264"/>
      <c r="P41" s="552"/>
      <c r="Q41" s="264"/>
      <c r="R41" s="552"/>
      <c r="S41" s="289"/>
      <c r="T41" s="552"/>
      <c r="U41" s="289"/>
      <c r="V41" s="552"/>
      <c r="W41" s="289"/>
      <c r="X41" s="552"/>
      <c r="Y41" s="289"/>
      <c r="Z41" s="552"/>
      <c r="AA41" s="289"/>
      <c r="AB41" s="264"/>
      <c r="AC41" s="523"/>
      <c r="AD41" s="531">
        <v>0</v>
      </c>
      <c r="AE41" s="264"/>
      <c r="AF41" s="524" t="s">
        <v>103</v>
      </c>
      <c r="AG41" s="531">
        <v>0.1</v>
      </c>
      <c r="AH41" s="287"/>
      <c r="AI41" s="97"/>
      <c r="AJ41" s="287">
        <f t="shared" si="1"/>
        <v>-0.1</v>
      </c>
      <c r="AK41" s="41"/>
      <c r="AL41" s="266">
        <f>ROUND(IF(AG41=0,0,AJ41/ABS(AG41)),3)</f>
        <v>-1</v>
      </c>
      <c r="AM41" s="1627"/>
      <c r="AN41" s="1627"/>
    </row>
    <row r="42" spans="1:40" s="3" customFormat="1" ht="15.75" collapsed="1">
      <c r="B42" s="83" t="s">
        <v>426</v>
      </c>
      <c r="E42" s="68">
        <f>ROUND(SUM(E19:E41),1)</f>
        <v>0.1</v>
      </c>
      <c r="F42" s="13"/>
      <c r="G42" s="68">
        <f>ROUND(SUM(G19:G41),1)</f>
        <v>0.1</v>
      </c>
      <c r="H42" s="393"/>
      <c r="I42" s="68">
        <f>ROUND(SUM(I19:I41),1)</f>
        <v>0.1</v>
      </c>
      <c r="J42" s="13"/>
      <c r="K42" s="68">
        <f>ROUND(SUM(K19:K41),1)</f>
        <v>0</v>
      </c>
      <c r="L42" s="13"/>
      <c r="M42" s="68">
        <f>ROUND(SUM(M19:M41),1)</f>
        <v>0</v>
      </c>
      <c r="N42" s="13"/>
      <c r="O42" s="68">
        <f>ROUND(SUM(O19:O41),1)</f>
        <v>0</v>
      </c>
      <c r="P42" s="13"/>
      <c r="Q42" s="68">
        <f>ROUND(SUM(Q19:Q41),1)</f>
        <v>0</v>
      </c>
      <c r="R42" s="13"/>
      <c r="S42" s="68">
        <f>ROUND(SUM(S19:S41),1)</f>
        <v>0</v>
      </c>
      <c r="T42" s="13"/>
      <c r="U42" s="68">
        <f>ROUND(SUM(U19:U41),1)</f>
        <v>0</v>
      </c>
      <c r="V42" s="13"/>
      <c r="W42" s="68">
        <f>ROUND(SUM(W19:W41),1)</f>
        <v>0</v>
      </c>
      <c r="X42" s="13"/>
      <c r="Y42" s="68">
        <f>ROUND(SUM(Y19:Y41),1)</f>
        <v>0</v>
      </c>
      <c r="Z42" s="13"/>
      <c r="AA42" s="68">
        <f>ROUND(SUM(AA19:AA41),1)</f>
        <v>0</v>
      </c>
      <c r="AB42" s="13"/>
      <c r="AC42" s="14"/>
      <c r="AD42" s="68">
        <f>ROUND(SUM(AD19:AD41),1)</f>
        <v>0.3</v>
      </c>
      <c r="AE42" s="1234"/>
      <c r="AF42" s="13"/>
      <c r="AG42" s="68">
        <f>ROUND(SUM(AG19:AG41),1)</f>
        <v>0.6</v>
      </c>
      <c r="AH42" s="18"/>
      <c r="AI42" s="97"/>
      <c r="AJ42" s="68">
        <f>ROUND(SUM(AJ19:AJ41),1)</f>
        <v>-0.3</v>
      </c>
      <c r="AK42" s="40"/>
      <c r="AL42" s="1985">
        <f>ROUND(IF(AG42=0,1,AJ42/ABS(AG42)),3)</f>
        <v>-0.5</v>
      </c>
      <c r="AM42" s="1716"/>
      <c r="AN42" s="1716"/>
    </row>
    <row r="43" spans="1:40" s="12" customFormat="1" ht="15.75">
      <c r="A43" s="264"/>
      <c r="B43" s="1075"/>
      <c r="C43" s="264"/>
      <c r="D43" s="264"/>
      <c r="E43" s="289"/>
      <c r="F43" s="264"/>
      <c r="G43" s="275"/>
      <c r="H43" s="264"/>
      <c r="I43" s="289"/>
      <c r="J43" s="264"/>
      <c r="K43" s="275"/>
      <c r="L43" s="264"/>
      <c r="M43" s="289"/>
      <c r="N43" s="264"/>
      <c r="O43" s="288"/>
      <c r="P43" s="264"/>
      <c r="Q43" s="289"/>
      <c r="R43" s="264"/>
      <c r="S43" s="288"/>
      <c r="T43" s="264"/>
      <c r="U43" s="288"/>
      <c r="V43" s="264"/>
      <c r="W43" s="289"/>
      <c r="X43" s="264"/>
      <c r="Y43" s="289"/>
      <c r="Z43" s="264"/>
      <c r="AA43" s="289"/>
      <c r="AB43" s="264"/>
      <c r="AC43" s="523"/>
      <c r="AD43" s="289"/>
      <c r="AE43" s="1232"/>
      <c r="AF43" s="523"/>
      <c r="AG43" s="289"/>
      <c r="AH43" s="287"/>
      <c r="AI43" s="97"/>
      <c r="AL43" s="96"/>
      <c r="AM43" s="1627"/>
      <c r="AN43" s="1627"/>
    </row>
    <row r="44" spans="1:40" ht="15.75">
      <c r="A44" s="291"/>
      <c r="B44" s="291" t="s">
        <v>507</v>
      </c>
      <c r="C44" s="291"/>
      <c r="D44" s="291"/>
      <c r="E44" s="264">
        <v>87.6</v>
      </c>
      <c r="F44" s="264"/>
      <c r="G44" s="264">
        <v>135.6</v>
      </c>
      <c r="H44" s="264"/>
      <c r="I44" s="264">
        <f>$AD44-G44-E44</f>
        <v>155.5</v>
      </c>
      <c r="J44" s="264"/>
      <c r="K44" s="264"/>
      <c r="L44" s="264"/>
      <c r="M44" s="264"/>
      <c r="N44" s="264"/>
      <c r="O44" s="264"/>
      <c r="P44" s="264"/>
      <c r="Q44" s="264"/>
      <c r="R44" s="264"/>
      <c r="S44" s="289"/>
      <c r="T44" s="289"/>
      <c r="U44" s="289"/>
      <c r="V44" s="264"/>
      <c r="W44" s="289"/>
      <c r="X44" s="264"/>
      <c r="Y44" s="289"/>
      <c r="Z44" s="264"/>
      <c r="AA44" s="289"/>
      <c r="AB44" s="264"/>
      <c r="AC44" s="523"/>
      <c r="AD44" s="531">
        <v>378.7</v>
      </c>
      <c r="AE44" s="264"/>
      <c r="AF44" s="524" t="s">
        <v>103</v>
      </c>
      <c r="AG44" s="531">
        <v>566.6</v>
      </c>
      <c r="AH44" s="287"/>
      <c r="AI44" s="98"/>
      <c r="AJ44" s="1064">
        <f>ROUND(AD44-AG44,1)</f>
        <v>-187.9</v>
      </c>
      <c r="AK44" s="41"/>
      <c r="AL44" s="1761">
        <f>ROUND(IF(AG44=0,0,AJ44/ABS(AG44)),3)</f>
        <v>-0.33200000000000002</v>
      </c>
      <c r="AM44" s="1627"/>
      <c r="AN44" s="1627"/>
    </row>
    <row r="45" spans="1:40" ht="15.75">
      <c r="A45" s="291"/>
      <c r="B45" s="291"/>
      <c r="C45" s="291"/>
      <c r="D45" s="291"/>
      <c r="E45" s="615"/>
      <c r="F45" s="264"/>
      <c r="G45" s="615"/>
      <c r="H45" s="264"/>
      <c r="I45" s="615"/>
      <c r="J45" s="264"/>
      <c r="K45" s="615"/>
      <c r="L45" s="264"/>
      <c r="M45" s="615"/>
      <c r="N45" s="264"/>
      <c r="O45" s="615"/>
      <c r="P45" s="264"/>
      <c r="Q45" s="615"/>
      <c r="R45" s="264"/>
      <c r="S45" s="615"/>
      <c r="T45" s="264"/>
      <c r="U45" s="615"/>
      <c r="V45" s="264"/>
      <c r="W45" s="615"/>
      <c r="X45" s="264"/>
      <c r="Y45" s="615"/>
      <c r="Z45" s="264"/>
      <c r="AA45" s="615"/>
      <c r="AB45" s="264"/>
      <c r="AC45" s="523"/>
      <c r="AD45" s="615"/>
      <c r="AE45" s="1232"/>
      <c r="AF45" s="523"/>
      <c r="AG45" s="615"/>
      <c r="AH45" s="264"/>
      <c r="AI45" s="98"/>
      <c r="AJ45" s="12"/>
      <c r="AL45" s="96"/>
      <c r="AM45" s="1627"/>
      <c r="AN45" s="1627"/>
    </row>
    <row r="46" spans="1:40" ht="15.75">
      <c r="A46" s="291"/>
      <c r="B46" s="3" t="s">
        <v>563</v>
      </c>
      <c r="C46" s="291"/>
      <c r="D46" s="291"/>
      <c r="E46" s="13">
        <f>ROUND(SUM(E42+E44),1)</f>
        <v>87.7</v>
      </c>
      <c r="F46" s="13"/>
      <c r="G46" s="13">
        <f>ROUND(SUM(G42+G44),1)</f>
        <v>135.69999999999999</v>
      </c>
      <c r="H46" s="13"/>
      <c r="I46" s="13">
        <f>ROUND(SUM(I42+I44),1)</f>
        <v>155.6</v>
      </c>
      <c r="J46" s="13"/>
      <c r="K46" s="13">
        <f>ROUND(SUM(K42+K44),1)</f>
        <v>0</v>
      </c>
      <c r="L46" s="13"/>
      <c r="M46" s="13">
        <f>ROUND(SUM(M42+M44),1)</f>
        <v>0</v>
      </c>
      <c r="N46" s="13"/>
      <c r="O46" s="13">
        <f>ROUND(SUM(O42+O44),1)</f>
        <v>0</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379</v>
      </c>
      <c r="AE46" s="1234"/>
      <c r="AF46" s="14"/>
      <c r="AG46" s="13">
        <f>ROUND(SUM(AG42+AG44),1)</f>
        <v>567.20000000000005</v>
      </c>
      <c r="AH46" s="18"/>
      <c r="AI46" s="98"/>
      <c r="AJ46" s="357">
        <f>ROUND(SUM(AJ42+AJ44),1)</f>
        <v>-188.2</v>
      </c>
      <c r="AK46" s="40"/>
      <c r="AL46" s="611">
        <f>ROUND(SUM(AD46-AG46)/ABS(AG46),3)</f>
        <v>-0.33200000000000002</v>
      </c>
      <c r="AM46" s="1716"/>
      <c r="AN46" s="1627"/>
    </row>
    <row r="47" spans="1:40" ht="15.75">
      <c r="A47" s="291"/>
      <c r="B47" s="291"/>
      <c r="C47" s="291"/>
      <c r="D47" s="291"/>
      <c r="E47" s="615"/>
      <c r="F47" s="264"/>
      <c r="G47" s="615"/>
      <c r="H47" s="264"/>
      <c r="I47" s="615"/>
      <c r="J47" s="264"/>
      <c r="K47" s="615"/>
      <c r="L47" s="264"/>
      <c r="M47" s="615"/>
      <c r="N47" s="264"/>
      <c r="O47" s="615"/>
      <c r="P47" s="264"/>
      <c r="Q47" s="615"/>
      <c r="R47" s="264"/>
      <c r="S47" s="615"/>
      <c r="T47" s="264"/>
      <c r="U47" s="615"/>
      <c r="V47" s="264"/>
      <c r="W47" s="615"/>
      <c r="X47" s="264"/>
      <c r="Y47" s="615"/>
      <c r="Z47" s="264"/>
      <c r="AA47" s="615"/>
      <c r="AB47" s="264"/>
      <c r="AC47" s="523"/>
      <c r="AD47" s="615"/>
      <c r="AE47" s="1232"/>
      <c r="AF47" s="523"/>
      <c r="AG47" s="615"/>
      <c r="AH47" s="264"/>
      <c r="AI47" s="98"/>
      <c r="AJ47" s="12"/>
      <c r="AL47" s="96"/>
      <c r="AM47" s="1627"/>
      <c r="AN47" s="1627"/>
    </row>
    <row r="48" spans="1:40" ht="15.75">
      <c r="A48" s="291"/>
      <c r="B48" s="3" t="s">
        <v>122</v>
      </c>
      <c r="C48" s="291"/>
      <c r="D48" s="291"/>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523"/>
      <c r="AD48" s="264"/>
      <c r="AE48" s="1232"/>
      <c r="AF48" s="523"/>
      <c r="AG48" s="264"/>
      <c r="AH48" s="264"/>
      <c r="AI48" s="98"/>
      <c r="AJ48" s="12"/>
      <c r="AL48" s="96"/>
      <c r="AM48" s="1627"/>
      <c r="AN48" s="1627"/>
    </row>
    <row r="49" spans="1:40" ht="15.75">
      <c r="A49" s="291"/>
      <c r="B49" s="291" t="s">
        <v>451</v>
      </c>
      <c r="C49" s="291"/>
      <c r="D49" s="291"/>
      <c r="E49" s="289"/>
      <c r="F49" s="264"/>
      <c r="G49" s="264"/>
      <c r="H49" s="264"/>
      <c r="I49" s="264"/>
      <c r="J49" s="264"/>
      <c r="K49" s="264"/>
      <c r="L49" s="264"/>
      <c r="M49" s="264"/>
      <c r="N49" s="264"/>
      <c r="O49" s="264"/>
      <c r="P49" s="264"/>
      <c r="Q49" s="289"/>
      <c r="R49" s="264"/>
      <c r="S49" s="264"/>
      <c r="T49" s="264"/>
      <c r="U49" s="264"/>
      <c r="V49" s="264"/>
      <c r="W49" s="264"/>
      <c r="X49" s="264"/>
      <c r="Y49" s="264"/>
      <c r="Z49" s="264"/>
      <c r="AA49" s="264"/>
      <c r="AB49" s="264"/>
      <c r="AC49" s="523"/>
      <c r="AD49" s="264"/>
      <c r="AE49" s="1232"/>
      <c r="AF49" s="523"/>
      <c r="AG49" s="264"/>
      <c r="AH49" s="264"/>
      <c r="AI49" s="98"/>
      <c r="AJ49" s="12"/>
      <c r="AK49" s="41"/>
      <c r="AL49" s="96"/>
      <c r="AM49" s="1627"/>
      <c r="AN49" s="1627"/>
    </row>
    <row r="50" spans="1:40" ht="15.75">
      <c r="A50" s="291"/>
      <c r="B50" s="291" t="s">
        <v>124</v>
      </c>
      <c r="C50" s="291"/>
      <c r="D50" s="291"/>
      <c r="E50" s="264">
        <v>0</v>
      </c>
      <c r="F50" s="264"/>
      <c r="G50" s="264">
        <v>0</v>
      </c>
      <c r="H50" s="264"/>
      <c r="I50" s="264">
        <f>$AD50-G50-E50</f>
        <v>0</v>
      </c>
      <c r="J50" s="264"/>
      <c r="K50" s="264"/>
      <c r="L50" s="264"/>
      <c r="M50" s="264"/>
      <c r="N50" s="264"/>
      <c r="O50" s="264"/>
      <c r="P50" s="264"/>
      <c r="Q50" s="264"/>
      <c r="R50" s="264"/>
      <c r="S50" s="289"/>
      <c r="T50" s="289"/>
      <c r="U50" s="289"/>
      <c r="V50" s="264"/>
      <c r="W50" s="289"/>
      <c r="X50" s="289"/>
      <c r="Y50" s="289"/>
      <c r="Z50" s="264"/>
      <c r="AA50" s="289"/>
      <c r="AB50" s="264"/>
      <c r="AC50" s="523"/>
      <c r="AD50" s="531">
        <v>0</v>
      </c>
      <c r="AE50" s="264"/>
      <c r="AF50" s="524" t="s">
        <v>103</v>
      </c>
      <c r="AG50" s="531">
        <v>0</v>
      </c>
      <c r="AH50" s="287"/>
      <c r="AI50" s="97"/>
      <c r="AJ50" s="423">
        <f>ROUND(AD50-AG50,1)</f>
        <v>0</v>
      </c>
      <c r="AK50" s="41"/>
      <c r="AL50" s="374">
        <f>ROUND(IF(AG50=0,0,AJ50/ABS(AG50)),3)</f>
        <v>0</v>
      </c>
      <c r="AM50" s="1627"/>
      <c r="AN50" s="1627"/>
    </row>
    <row r="51" spans="1:40" ht="15.75">
      <c r="A51" s="291"/>
      <c r="B51" s="291" t="s">
        <v>125</v>
      </c>
      <c r="C51" s="291"/>
      <c r="D51" s="291"/>
      <c r="E51" s="264">
        <v>0.2</v>
      </c>
      <c r="F51" s="264"/>
      <c r="G51" s="264">
        <v>0.49999999999999994</v>
      </c>
      <c r="H51" s="264"/>
      <c r="I51" s="264">
        <f t="shared" ref="I51:I58" si="4">$AD51-G51-E51</f>
        <v>0</v>
      </c>
      <c r="J51" s="264"/>
      <c r="K51" s="264"/>
      <c r="L51" s="264"/>
      <c r="M51" s="264"/>
      <c r="N51" s="264"/>
      <c r="O51" s="264"/>
      <c r="P51" s="264"/>
      <c r="Q51" s="264"/>
      <c r="R51" s="264"/>
      <c r="S51" s="289"/>
      <c r="T51" s="289"/>
      <c r="U51" s="289"/>
      <c r="V51" s="264"/>
      <c r="W51" s="289"/>
      <c r="X51" s="289"/>
      <c r="Y51" s="289"/>
      <c r="Z51" s="264"/>
      <c r="AA51" s="289"/>
      <c r="AB51" s="264"/>
      <c r="AC51" s="523"/>
      <c r="AD51" s="531">
        <v>0.7</v>
      </c>
      <c r="AE51" s="264"/>
      <c r="AF51" s="524" t="s">
        <v>103</v>
      </c>
      <c r="AG51" s="531">
        <v>0</v>
      </c>
      <c r="AH51" s="287"/>
      <c r="AI51" s="97"/>
      <c r="AJ51" s="423">
        <f>ROUND(AD51-AG51,1)</f>
        <v>0.7</v>
      </c>
      <c r="AK51" s="41"/>
      <c r="AL51" s="542">
        <f>ROUND(IF(AG51=0,1,AJ51/ABS(AG51)),3)</f>
        <v>1</v>
      </c>
      <c r="AM51" s="1627"/>
      <c r="AN51" s="1627"/>
    </row>
    <row r="52" spans="1:40" ht="15.75">
      <c r="A52" s="291"/>
      <c r="B52" s="291" t="s">
        <v>126</v>
      </c>
      <c r="C52" s="291"/>
      <c r="D52" s="291"/>
      <c r="E52" s="264">
        <v>0</v>
      </c>
      <c r="F52" s="264"/>
      <c r="G52" s="264">
        <v>0</v>
      </c>
      <c r="H52" s="264"/>
      <c r="I52" s="264">
        <f t="shared" si="4"/>
        <v>0</v>
      </c>
      <c r="J52" s="264"/>
      <c r="K52" s="264"/>
      <c r="L52" s="264"/>
      <c r="M52" s="264"/>
      <c r="N52" s="264"/>
      <c r="O52" s="264"/>
      <c r="P52" s="264"/>
      <c r="Q52" s="264"/>
      <c r="R52" s="264"/>
      <c r="S52" s="289"/>
      <c r="T52" s="289"/>
      <c r="U52" s="289"/>
      <c r="V52" s="264"/>
      <c r="W52" s="289"/>
      <c r="X52" s="289"/>
      <c r="Y52" s="289"/>
      <c r="Z52" s="264"/>
      <c r="AA52" s="289"/>
      <c r="AB52" s="264"/>
      <c r="AC52" s="523"/>
      <c r="AD52" s="531">
        <v>0</v>
      </c>
      <c r="AE52" s="264"/>
      <c r="AF52" s="524" t="s">
        <v>103</v>
      </c>
      <c r="AG52" s="531">
        <v>0</v>
      </c>
      <c r="AH52" s="287"/>
      <c r="AI52" s="97"/>
      <c r="AJ52" s="423">
        <f>ROUND(AD52-AG52,1)</f>
        <v>0</v>
      </c>
      <c r="AL52" s="374">
        <f>ROUND(IF(AG52=0,0,AJ52/ABS(AG52)),3)</f>
        <v>0</v>
      </c>
      <c r="AM52" s="1627"/>
      <c r="AN52" s="1627"/>
    </row>
    <row r="53" spans="1:40" ht="15.75">
      <c r="A53" s="291"/>
      <c r="B53" s="291" t="s">
        <v>127</v>
      </c>
      <c r="C53" s="291"/>
      <c r="D53" s="291"/>
      <c r="E53" s="264"/>
      <c r="F53" s="264"/>
      <c r="G53" s="264"/>
      <c r="H53" s="264"/>
      <c r="I53" s="264"/>
      <c r="J53" s="264"/>
      <c r="K53" s="264"/>
      <c r="L53" s="264"/>
      <c r="M53" s="264"/>
      <c r="N53" s="264"/>
      <c r="O53" s="264"/>
      <c r="P53" s="264"/>
      <c r="Q53" s="264"/>
      <c r="R53" s="264"/>
      <c r="S53" s="289"/>
      <c r="T53" s="289"/>
      <c r="U53" s="289"/>
      <c r="V53" s="264"/>
      <c r="W53" s="289"/>
      <c r="X53" s="289"/>
      <c r="Y53" s="289"/>
      <c r="Z53" s="264"/>
      <c r="AA53" s="289"/>
      <c r="AB53" s="264"/>
      <c r="AC53" s="523"/>
      <c r="AD53" s="531"/>
      <c r="AE53" s="264"/>
      <c r="AF53" s="524" t="s">
        <v>103</v>
      </c>
      <c r="AG53" s="512"/>
      <c r="AH53" s="264"/>
      <c r="AI53" s="98"/>
      <c r="AJ53" s="423"/>
      <c r="AK53" s="41"/>
      <c r="AL53" s="592" t="s">
        <v>103</v>
      </c>
      <c r="AM53" s="1627"/>
      <c r="AN53" s="1627"/>
    </row>
    <row r="54" spans="1:40" ht="15.75">
      <c r="A54" s="291"/>
      <c r="B54" s="291" t="s">
        <v>129</v>
      </c>
      <c r="C54" s="291"/>
      <c r="D54" s="291"/>
      <c r="E54" s="264">
        <v>0</v>
      </c>
      <c r="F54" s="264"/>
      <c r="G54" s="264">
        <v>1.4</v>
      </c>
      <c r="H54" s="264"/>
      <c r="I54" s="264">
        <f t="shared" si="4"/>
        <v>0</v>
      </c>
      <c r="J54" s="264"/>
      <c r="K54" s="264"/>
      <c r="L54" s="264"/>
      <c r="M54" s="264"/>
      <c r="N54" s="264"/>
      <c r="O54" s="264"/>
      <c r="P54" s="264"/>
      <c r="Q54" s="264"/>
      <c r="R54" s="264"/>
      <c r="S54" s="289"/>
      <c r="T54" s="289"/>
      <c r="U54" s="289"/>
      <c r="V54" s="264"/>
      <c r="W54" s="289"/>
      <c r="X54" s="289"/>
      <c r="Y54" s="289"/>
      <c r="Z54" s="264"/>
      <c r="AA54" s="289"/>
      <c r="AB54" s="264"/>
      <c r="AC54" s="523"/>
      <c r="AD54" s="531">
        <v>1.4</v>
      </c>
      <c r="AE54" s="264"/>
      <c r="AF54" s="524" t="s">
        <v>103</v>
      </c>
      <c r="AG54" s="531">
        <v>2</v>
      </c>
      <c r="AH54" s="287"/>
      <c r="AI54" s="97"/>
      <c r="AJ54" s="423">
        <f t="shared" ref="AJ54:AJ58" si="5">ROUND(AD54-AG54,1)</f>
        <v>-0.6</v>
      </c>
      <c r="AK54" s="41"/>
      <c r="AL54" s="542">
        <f>ROUND(IF(AG54=0,1,AJ54/ABS(AG54)),3)</f>
        <v>-0.3</v>
      </c>
      <c r="AM54" s="1627"/>
      <c r="AN54" s="1627"/>
    </row>
    <row r="55" spans="1:40" ht="15.75">
      <c r="A55" s="291"/>
      <c r="B55" s="291" t="s">
        <v>130</v>
      </c>
      <c r="C55" s="291"/>
      <c r="D55" s="291"/>
      <c r="E55" s="264">
        <v>0</v>
      </c>
      <c r="F55" s="264"/>
      <c r="G55" s="264">
        <v>0</v>
      </c>
      <c r="H55" s="264"/>
      <c r="I55" s="264">
        <f t="shared" si="4"/>
        <v>0</v>
      </c>
      <c r="J55" s="264"/>
      <c r="K55" s="264"/>
      <c r="L55" s="264"/>
      <c r="M55" s="264"/>
      <c r="N55" s="264"/>
      <c r="O55" s="264"/>
      <c r="P55" s="264"/>
      <c r="Q55" s="264"/>
      <c r="R55" s="264"/>
      <c r="S55" s="289"/>
      <c r="T55" s="289"/>
      <c r="U55" s="289"/>
      <c r="V55" s="264"/>
      <c r="W55" s="289"/>
      <c r="X55" s="289"/>
      <c r="Y55" s="289"/>
      <c r="Z55" s="264"/>
      <c r="AA55" s="289"/>
      <c r="AB55" s="264"/>
      <c r="AC55" s="523"/>
      <c r="AD55" s="531">
        <v>0</v>
      </c>
      <c r="AE55" s="264"/>
      <c r="AF55" s="524" t="s">
        <v>103</v>
      </c>
      <c r="AG55" s="531">
        <v>0</v>
      </c>
      <c r="AH55" s="287"/>
      <c r="AI55" s="97"/>
      <c r="AJ55" s="423">
        <f t="shared" si="5"/>
        <v>0</v>
      </c>
      <c r="AL55" s="542">
        <f>ROUND(IF(AG55=0,0,AJ55/ABS(AG55)),3)</f>
        <v>0</v>
      </c>
      <c r="AM55" s="1627"/>
      <c r="AN55" s="1627"/>
    </row>
    <row r="56" spans="1:40" ht="15.75">
      <c r="A56" s="291"/>
      <c r="B56" s="291" t="s">
        <v>131</v>
      </c>
      <c r="C56" s="291"/>
      <c r="D56" s="291"/>
      <c r="E56" s="264">
        <v>0</v>
      </c>
      <c r="F56" s="264"/>
      <c r="G56" s="264">
        <v>0</v>
      </c>
      <c r="H56" s="264"/>
      <c r="I56" s="264">
        <f t="shared" si="4"/>
        <v>0</v>
      </c>
      <c r="J56" s="264"/>
      <c r="K56" s="264"/>
      <c r="L56" s="264"/>
      <c r="M56" s="264"/>
      <c r="N56" s="264"/>
      <c r="O56" s="264"/>
      <c r="P56" s="264"/>
      <c r="Q56" s="264"/>
      <c r="R56" s="264"/>
      <c r="S56" s="289"/>
      <c r="T56" s="289"/>
      <c r="U56" s="289"/>
      <c r="V56" s="264"/>
      <c r="W56" s="289"/>
      <c r="X56" s="289"/>
      <c r="Y56" s="289"/>
      <c r="Z56" s="264"/>
      <c r="AA56" s="289"/>
      <c r="AB56" s="264"/>
      <c r="AC56" s="523"/>
      <c r="AD56" s="531">
        <v>0</v>
      </c>
      <c r="AE56" s="264"/>
      <c r="AF56" s="524" t="s">
        <v>103</v>
      </c>
      <c r="AG56" s="531">
        <v>0</v>
      </c>
      <c r="AH56" s="264"/>
      <c r="AI56" s="98"/>
      <c r="AJ56" s="423">
        <f t="shared" si="5"/>
        <v>0</v>
      </c>
      <c r="AK56" s="41"/>
      <c r="AL56" s="374">
        <f>ROUND(IF(AG56=0,0,AJ56/ABS(AG56)),3)</f>
        <v>0</v>
      </c>
      <c r="AM56" s="1627"/>
      <c r="AN56" s="1627"/>
    </row>
    <row r="57" spans="1:40" ht="15.75">
      <c r="A57" s="291"/>
      <c r="B57" s="291" t="s">
        <v>132</v>
      </c>
      <c r="C57" s="3"/>
      <c r="D57" s="291"/>
      <c r="E57" s="264">
        <v>9.8000000000000007</v>
      </c>
      <c r="F57" s="264"/>
      <c r="G57" s="264">
        <v>11.899999999999999</v>
      </c>
      <c r="H57" s="264"/>
      <c r="I57" s="264">
        <f t="shared" si="4"/>
        <v>8.1000000000000014</v>
      </c>
      <c r="J57" s="264"/>
      <c r="K57" s="264"/>
      <c r="L57" s="264"/>
      <c r="M57" s="264"/>
      <c r="N57" s="264"/>
      <c r="O57" s="264"/>
      <c r="P57" s="264"/>
      <c r="Q57" s="264"/>
      <c r="R57" s="264"/>
      <c r="S57" s="289"/>
      <c r="T57" s="289"/>
      <c r="U57" s="289"/>
      <c r="V57" s="264"/>
      <c r="W57" s="289"/>
      <c r="X57" s="289"/>
      <c r="Y57" s="289"/>
      <c r="Z57" s="264"/>
      <c r="AA57" s="289"/>
      <c r="AB57" s="264"/>
      <c r="AC57" s="523"/>
      <c r="AD57" s="531">
        <v>29.8</v>
      </c>
      <c r="AE57" s="264"/>
      <c r="AF57" s="524" t="s">
        <v>103</v>
      </c>
      <c r="AG57" s="531">
        <v>3.5</v>
      </c>
      <c r="AH57" s="264"/>
      <c r="AI57" s="98"/>
      <c r="AJ57" s="423">
        <f t="shared" si="5"/>
        <v>26.3</v>
      </c>
      <c r="AL57" s="2014">
        <f>ROUND(IF(AG57=0,1,AJ57/ABS(AG57)),3)</f>
        <v>7.5140000000000002</v>
      </c>
      <c r="AM57" s="1627"/>
      <c r="AN57" s="1627"/>
    </row>
    <row r="58" spans="1:40" ht="15.75">
      <c r="A58" s="291"/>
      <c r="B58" s="291" t="s">
        <v>133</v>
      </c>
      <c r="C58" s="291"/>
      <c r="D58" s="291"/>
      <c r="E58" s="264">
        <v>24.8</v>
      </c>
      <c r="F58" s="264"/>
      <c r="G58" s="264">
        <v>46.100000000000009</v>
      </c>
      <c r="H58" s="264"/>
      <c r="I58" s="264">
        <f t="shared" si="4"/>
        <v>10.899999999999988</v>
      </c>
      <c r="J58" s="264"/>
      <c r="K58" s="264"/>
      <c r="L58" s="264"/>
      <c r="M58" s="264"/>
      <c r="N58" s="264"/>
      <c r="O58" s="264"/>
      <c r="P58" s="264"/>
      <c r="Q58" s="264"/>
      <c r="R58" s="264"/>
      <c r="S58" s="289"/>
      <c r="T58" s="289"/>
      <c r="U58" s="289"/>
      <c r="V58" s="264"/>
      <c r="W58" s="289"/>
      <c r="X58" s="289"/>
      <c r="Y58" s="289"/>
      <c r="Z58" s="264"/>
      <c r="AA58" s="289"/>
      <c r="AB58" s="264"/>
      <c r="AC58" s="523"/>
      <c r="AD58" s="531">
        <v>81.8</v>
      </c>
      <c r="AE58" s="264"/>
      <c r="AF58" s="524" t="s">
        <v>103</v>
      </c>
      <c r="AG58" s="531">
        <v>58.8</v>
      </c>
      <c r="AH58" s="264"/>
      <c r="AI58" s="98"/>
      <c r="AJ58" s="423">
        <f t="shared" si="5"/>
        <v>23</v>
      </c>
      <c r="AL58" s="1762">
        <f>ROUND((AD58-AG58)/ABS(AG58),3)</f>
        <v>0.39100000000000001</v>
      </c>
      <c r="AM58" s="1627"/>
      <c r="AN58" s="1627"/>
    </row>
    <row r="59" spans="1:40" ht="15.75">
      <c r="A59" s="291"/>
      <c r="B59" s="3" t="s">
        <v>564</v>
      </c>
      <c r="C59" s="291"/>
      <c r="D59" s="291"/>
      <c r="E59" s="616">
        <f>ROUND(SUM(E50:E58),1)</f>
        <v>34.799999999999997</v>
      </c>
      <c r="F59" s="13"/>
      <c r="G59" s="616">
        <f>ROUND(SUM(G50:G58),1)</f>
        <v>59.9</v>
      </c>
      <c r="H59" s="13"/>
      <c r="I59" s="616">
        <f>ROUND(SUM(I50:I58),1)</f>
        <v>19</v>
      </c>
      <c r="J59" s="13"/>
      <c r="K59" s="616">
        <f>ROUND(SUM(K50:K58),1)</f>
        <v>0</v>
      </c>
      <c r="L59" s="13"/>
      <c r="M59" s="616">
        <f>ROUND(SUM(M50:M58),1)</f>
        <v>0</v>
      </c>
      <c r="N59" s="13"/>
      <c r="O59" s="616">
        <f>ROUND(SUM(O50:O58),1)</f>
        <v>0</v>
      </c>
      <c r="P59" s="13"/>
      <c r="Q59" s="616">
        <f>ROUND(SUM(Q50:Q58),1)</f>
        <v>0</v>
      </c>
      <c r="R59" s="13"/>
      <c r="S59" s="616">
        <f>ROUND(SUM(S50:S58),1)</f>
        <v>0</v>
      </c>
      <c r="T59" s="13"/>
      <c r="U59" s="616">
        <f>ROUND(SUM(U50:U58),1)</f>
        <v>0</v>
      </c>
      <c r="V59" s="13"/>
      <c r="W59" s="616">
        <f>ROUND(SUM(W50:W58),1)</f>
        <v>0</v>
      </c>
      <c r="X59" s="13"/>
      <c r="Y59" s="616">
        <f>ROUND(SUM(Y50:Y58),1)</f>
        <v>0</v>
      </c>
      <c r="Z59" s="13"/>
      <c r="AA59" s="616">
        <f>ROUND(SUM(AA50:AA58),1)</f>
        <v>0</v>
      </c>
      <c r="AB59" s="13"/>
      <c r="AC59" s="14"/>
      <c r="AD59" s="616">
        <f>ROUND(SUM(AD50:AD58),1)</f>
        <v>113.7</v>
      </c>
      <c r="AE59" s="1234"/>
      <c r="AF59" s="14"/>
      <c r="AG59" s="616">
        <f>ROUND(SUM(AG50:AG58),1)</f>
        <v>64.3</v>
      </c>
      <c r="AH59" s="13"/>
      <c r="AI59" s="98"/>
      <c r="AJ59" s="616">
        <f>ROUND(SUM(AJ50:AJ58),1)</f>
        <v>49.4</v>
      </c>
      <c r="AK59" s="3"/>
      <c r="AL59" s="923">
        <f>ROUND(SUM(AD59-AG59)/ABS(AG59),3)</f>
        <v>0.76800000000000002</v>
      </c>
      <c r="AM59" s="1716"/>
      <c r="AN59" s="1627"/>
    </row>
    <row r="60" spans="1:40" ht="15.75">
      <c r="A60" s="291"/>
      <c r="B60" s="291" t="s">
        <v>565</v>
      </c>
      <c r="C60" s="291"/>
      <c r="D60" s="291"/>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523"/>
      <c r="AD60" s="264"/>
      <c r="AE60" s="1232"/>
      <c r="AF60" s="523"/>
      <c r="AG60" s="264"/>
      <c r="AH60" s="264"/>
      <c r="AI60" s="98"/>
      <c r="AJ60" s="12"/>
      <c r="AL60" s="96"/>
      <c r="AM60" s="1627"/>
      <c r="AN60" s="1627"/>
    </row>
    <row r="61" spans="1:40" ht="15.75">
      <c r="A61" s="291"/>
      <c r="B61" s="291" t="s">
        <v>566</v>
      </c>
      <c r="C61" s="291"/>
      <c r="D61" s="291"/>
      <c r="E61" s="264">
        <v>0</v>
      </c>
      <c r="F61" s="264"/>
      <c r="G61" s="264">
        <v>0</v>
      </c>
      <c r="H61" s="264"/>
      <c r="I61" s="264">
        <f>$AD61-G61-E61</f>
        <v>0</v>
      </c>
      <c r="J61" s="264"/>
      <c r="K61" s="264"/>
      <c r="L61" s="264"/>
      <c r="M61" s="264"/>
      <c r="N61" s="264"/>
      <c r="O61" s="264"/>
      <c r="P61" s="264"/>
      <c r="Q61" s="264"/>
      <c r="R61" s="264"/>
      <c r="S61" s="289"/>
      <c r="T61" s="289"/>
      <c r="U61" s="289"/>
      <c r="V61" s="264"/>
      <c r="W61" s="289"/>
      <c r="X61" s="264"/>
      <c r="Y61" s="289"/>
      <c r="Z61" s="264"/>
      <c r="AA61" s="289"/>
      <c r="AB61" s="264"/>
      <c r="AC61" s="523"/>
      <c r="AD61" s="264">
        <v>0</v>
      </c>
      <c r="AE61" s="1232"/>
      <c r="AF61" s="264"/>
      <c r="AG61" s="264">
        <v>0</v>
      </c>
      <c r="AH61" s="367"/>
      <c r="AI61" s="100"/>
      <c r="AJ61" s="423">
        <f>ROUND(AD61-AG61,1)</f>
        <v>0</v>
      </c>
      <c r="AL61" s="374">
        <f>ROUND(IF(AG61=0,0,AJ61/ABS(AG61)),3)</f>
        <v>0</v>
      </c>
      <c r="AM61" s="1627"/>
      <c r="AN61" s="1627"/>
    </row>
    <row r="62" spans="1:40" ht="15.75">
      <c r="A62" s="291"/>
      <c r="B62" s="291" t="s">
        <v>567</v>
      </c>
      <c r="C62" s="291"/>
      <c r="D62" s="291"/>
      <c r="E62" s="264">
        <v>0</v>
      </c>
      <c r="F62" s="264"/>
      <c r="G62" s="264">
        <v>0</v>
      </c>
      <c r="H62" s="264"/>
      <c r="I62" s="264">
        <f t="shared" ref="I62:I64" si="6">$AD62-G62-E62</f>
        <v>0</v>
      </c>
      <c r="J62" s="264"/>
      <c r="K62" s="264"/>
      <c r="L62" s="264"/>
      <c r="M62" s="264"/>
      <c r="N62" s="264"/>
      <c r="O62" s="264"/>
      <c r="P62" s="264"/>
      <c r="Q62" s="264"/>
      <c r="R62" s="264"/>
      <c r="S62" s="289"/>
      <c r="T62" s="289"/>
      <c r="U62" s="289"/>
      <c r="V62" s="264"/>
      <c r="W62" s="289"/>
      <c r="X62" s="264"/>
      <c r="Y62" s="289"/>
      <c r="Z62" s="264"/>
      <c r="AA62" s="289"/>
      <c r="AB62" s="264"/>
      <c r="AC62" s="523"/>
      <c r="AD62" s="264">
        <v>0</v>
      </c>
      <c r="AE62" s="1232"/>
      <c r="AF62" s="264"/>
      <c r="AG62" s="264">
        <v>0</v>
      </c>
      <c r="AH62" s="367"/>
      <c r="AI62" s="100"/>
      <c r="AJ62" s="423">
        <f>ROUND(AD62-AG62,1)</f>
        <v>0</v>
      </c>
      <c r="AL62" s="374">
        <f>ROUND(IF(AG62=0,0,AJ62/ABS(AG62)),3)</f>
        <v>0</v>
      </c>
      <c r="AM62" s="1627"/>
      <c r="AN62" s="1627"/>
    </row>
    <row r="63" spans="1:40" ht="15.75">
      <c r="A63" s="291"/>
      <c r="B63" s="291" t="s">
        <v>568</v>
      </c>
      <c r="C63" s="291"/>
      <c r="D63" s="291"/>
      <c r="E63" s="264">
        <v>0</v>
      </c>
      <c r="F63" s="264"/>
      <c r="G63" s="264">
        <v>0</v>
      </c>
      <c r="H63" s="264"/>
      <c r="I63" s="264">
        <f t="shared" si="6"/>
        <v>0</v>
      </c>
      <c r="J63" s="264"/>
      <c r="K63" s="264"/>
      <c r="L63" s="264"/>
      <c r="M63" s="264"/>
      <c r="N63" s="264"/>
      <c r="O63" s="264"/>
      <c r="P63" s="264"/>
      <c r="Q63" s="264"/>
      <c r="R63" s="264"/>
      <c r="S63" s="289"/>
      <c r="T63" s="289"/>
      <c r="U63" s="289"/>
      <c r="V63" s="264"/>
      <c r="W63" s="289"/>
      <c r="X63" s="264"/>
      <c r="Y63" s="289"/>
      <c r="Z63" s="264"/>
      <c r="AA63" s="289"/>
      <c r="AB63" s="264"/>
      <c r="AC63" s="523"/>
      <c r="AD63" s="264">
        <v>0</v>
      </c>
      <c r="AE63" s="1232"/>
      <c r="AF63" s="264"/>
      <c r="AG63" s="264">
        <v>0</v>
      </c>
      <c r="AH63" s="367"/>
      <c r="AI63" s="100"/>
      <c r="AJ63" s="423">
        <f>ROUND(AD63-AG63,1)</f>
        <v>0</v>
      </c>
      <c r="AL63" s="374">
        <f>ROUND(IF(AG63=0,0,AJ63/ABS(AG63)),3)</f>
        <v>0</v>
      </c>
      <c r="AM63" s="1627"/>
      <c r="AN63" s="1627"/>
    </row>
    <row r="64" spans="1:40" ht="15.75">
      <c r="A64" s="291"/>
      <c r="B64" s="412" t="s">
        <v>584</v>
      </c>
      <c r="C64" s="291"/>
      <c r="D64" s="291"/>
      <c r="E64" s="264">
        <v>42.3</v>
      </c>
      <c r="F64" s="264"/>
      <c r="G64" s="264">
        <v>76.400000000000006</v>
      </c>
      <c r="H64" s="264"/>
      <c r="I64" s="264">
        <f t="shared" si="6"/>
        <v>273.59999999999997</v>
      </c>
      <c r="J64" s="264"/>
      <c r="K64" s="264"/>
      <c r="L64" s="264"/>
      <c r="M64" s="264"/>
      <c r="N64" s="264"/>
      <c r="O64" s="264"/>
      <c r="P64" s="264"/>
      <c r="Q64" s="264"/>
      <c r="R64" s="264"/>
      <c r="S64" s="289"/>
      <c r="T64" s="289"/>
      <c r="U64" s="289"/>
      <c r="V64" s="264"/>
      <c r="W64" s="289"/>
      <c r="X64" s="264"/>
      <c r="Y64" s="289"/>
      <c r="Z64" s="264"/>
      <c r="AA64" s="289"/>
      <c r="AB64" s="264"/>
      <c r="AC64" s="523"/>
      <c r="AD64" s="985">
        <v>392.3</v>
      </c>
      <c r="AE64" s="264"/>
      <c r="AF64" s="524" t="s">
        <v>103</v>
      </c>
      <c r="AG64" s="985">
        <v>474.4</v>
      </c>
      <c r="AH64" s="287"/>
      <c r="AI64" s="97"/>
      <c r="AJ64" s="1076">
        <f>ROUND(AD64-AG64,1)</f>
        <v>-82.1</v>
      </c>
      <c r="AL64" s="863">
        <f>ROUND(IF(AG64=0,0,AJ64/ABS(AG64)),3)</f>
        <v>-0.17299999999999999</v>
      </c>
      <c r="AM64" s="1627"/>
      <c r="AN64" s="1627"/>
    </row>
    <row r="65" spans="1:40" ht="15.75">
      <c r="A65" s="291"/>
      <c r="B65" s="291"/>
      <c r="C65" s="291"/>
      <c r="D65" s="291"/>
      <c r="E65" s="615"/>
      <c r="F65" s="264"/>
      <c r="G65" s="615"/>
      <c r="H65" s="264"/>
      <c r="I65" s="615"/>
      <c r="J65" s="264"/>
      <c r="K65" s="615"/>
      <c r="L65" s="264"/>
      <c r="M65" s="615"/>
      <c r="N65" s="264"/>
      <c r="O65" s="615"/>
      <c r="P65" s="264"/>
      <c r="Q65" s="615"/>
      <c r="R65" s="264"/>
      <c r="S65" s="615"/>
      <c r="T65" s="264"/>
      <c r="U65" s="615"/>
      <c r="V65" s="264"/>
      <c r="W65" s="615"/>
      <c r="X65" s="264"/>
      <c r="Y65" s="615"/>
      <c r="Z65" s="264"/>
      <c r="AA65" s="615"/>
      <c r="AB65" s="264"/>
      <c r="AC65" s="523"/>
      <c r="AD65" s="12"/>
      <c r="AE65" s="1232"/>
      <c r="AF65" s="523"/>
      <c r="AG65" s="12"/>
      <c r="AH65" s="12"/>
      <c r="AI65" s="98"/>
      <c r="AJ65" s="12"/>
      <c r="AL65" s="96"/>
      <c r="AM65" s="1627"/>
      <c r="AN65" s="1627"/>
    </row>
    <row r="66" spans="1:40" ht="15.75">
      <c r="A66" s="291"/>
      <c r="B66" s="3" t="s">
        <v>569</v>
      </c>
      <c r="C66" s="291"/>
      <c r="D66" s="291"/>
      <c r="E66" s="13">
        <f>ROUND(SUM(E59:E64),1)</f>
        <v>77.099999999999994</v>
      </c>
      <c r="F66" s="13"/>
      <c r="G66" s="13">
        <f>ROUND(SUM(G59:G64),1)</f>
        <v>136.30000000000001</v>
      </c>
      <c r="H66" s="13"/>
      <c r="I66" s="13">
        <f>ROUND(SUM(I59:I64),1)</f>
        <v>292.60000000000002</v>
      </c>
      <c r="J66" s="13"/>
      <c r="K66" s="13">
        <f>ROUND(SUM(K59:K64),1)</f>
        <v>0</v>
      </c>
      <c r="L66" s="13"/>
      <c r="M66" s="13">
        <f>ROUND(SUM(M59:M64),1)</f>
        <v>0</v>
      </c>
      <c r="N66" s="13"/>
      <c r="O66" s="13">
        <f>ROUND(SUM(O59:O64),1)</f>
        <v>0</v>
      </c>
      <c r="P66" s="13"/>
      <c r="Q66" s="13">
        <f>ROUND(SUM(Q59:Q64),1)</f>
        <v>0</v>
      </c>
      <c r="R66" s="13"/>
      <c r="S66" s="13">
        <f>ROUND(SUM(S59:S64),1)</f>
        <v>0</v>
      </c>
      <c r="T66" s="13"/>
      <c r="U66" s="13">
        <f>ROUND(SUM(U59:U64),1)</f>
        <v>0</v>
      </c>
      <c r="V66" s="13"/>
      <c r="W66" s="13">
        <f>ROUND(SUM(W59:W64),1)</f>
        <v>0</v>
      </c>
      <c r="X66" s="13"/>
      <c r="Y66" s="13">
        <f>ROUND(SUM(Y59:Y64),1)</f>
        <v>0</v>
      </c>
      <c r="Z66" s="13"/>
      <c r="AA66" s="13">
        <f>ROUND(SUM(AA59:AA64),1)</f>
        <v>0</v>
      </c>
      <c r="AB66" s="13"/>
      <c r="AC66" s="14"/>
      <c r="AD66" s="13">
        <f>ROUND(SUM(AD59:AD64),1)</f>
        <v>506</v>
      </c>
      <c r="AE66" s="1234"/>
      <c r="AF66" s="14"/>
      <c r="AG66" s="13">
        <f>ROUND(SUM(AG59:AG64),1)</f>
        <v>538.70000000000005</v>
      </c>
      <c r="AH66" s="13"/>
      <c r="AI66" s="98"/>
      <c r="AJ66" s="357">
        <f>ROUND(AD66-AG66,1)</f>
        <v>-32.700000000000003</v>
      </c>
      <c r="AK66" s="3"/>
      <c r="AL66" s="611">
        <f>ROUND(SUM(AD66-AG66)/ABS(AG66),3)</f>
        <v>-6.0999999999999999E-2</v>
      </c>
      <c r="AM66" s="1627"/>
      <c r="AN66" s="1627"/>
    </row>
    <row r="67" spans="1:40" ht="15.75">
      <c r="A67" s="291"/>
      <c r="B67" s="291"/>
      <c r="C67" s="291"/>
      <c r="D67" s="291"/>
      <c r="E67" s="615"/>
      <c r="F67" s="264"/>
      <c r="G67" s="615"/>
      <c r="H67" s="264"/>
      <c r="I67" s="615"/>
      <c r="J67" s="264"/>
      <c r="K67" s="615"/>
      <c r="L67" s="264"/>
      <c r="M67" s="615"/>
      <c r="N67" s="264"/>
      <c r="O67" s="615"/>
      <c r="P67" s="264"/>
      <c r="Q67" s="615"/>
      <c r="R67" s="264"/>
      <c r="S67" s="615"/>
      <c r="T67" s="264"/>
      <c r="U67" s="615"/>
      <c r="V67" s="264"/>
      <c r="W67" s="615"/>
      <c r="X67" s="264"/>
      <c r="Y67" s="615"/>
      <c r="Z67" s="264"/>
      <c r="AA67" s="615"/>
      <c r="AB67" s="264"/>
      <c r="AC67" s="523"/>
      <c r="AD67" s="615"/>
      <c r="AE67" s="1232"/>
      <c r="AF67" s="523"/>
      <c r="AG67" s="615"/>
      <c r="AH67" s="264"/>
      <c r="AI67" s="98"/>
      <c r="AJ67" s="12"/>
      <c r="AL67" s="96"/>
      <c r="AM67" s="1627"/>
      <c r="AN67" s="1627"/>
    </row>
    <row r="68" spans="1:40" ht="15.75">
      <c r="A68" s="291"/>
      <c r="B68" s="3" t="s">
        <v>570</v>
      </c>
      <c r="C68" s="291"/>
      <c r="D68" s="291"/>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523"/>
      <c r="AD68" s="12"/>
      <c r="AE68" s="1232"/>
      <c r="AF68" s="264"/>
      <c r="AG68" s="12"/>
      <c r="AH68" s="12"/>
      <c r="AI68" s="98"/>
      <c r="AJ68" s="12"/>
      <c r="AL68" s="96"/>
      <c r="AM68" s="1627"/>
      <c r="AN68" s="1627"/>
    </row>
    <row r="69" spans="1:40" ht="15.75">
      <c r="A69" s="291"/>
      <c r="B69" s="3" t="s">
        <v>571</v>
      </c>
      <c r="C69" s="291"/>
      <c r="D69" s="291"/>
      <c r="E69" s="13">
        <f>ROUND(E46-E66,1)</f>
        <v>10.6</v>
      </c>
      <c r="F69" s="13"/>
      <c r="G69" s="13">
        <f>ROUND(G46-G66,1)</f>
        <v>-0.6</v>
      </c>
      <c r="H69" s="13"/>
      <c r="I69" s="13">
        <f>ROUND(I46-I66,1)</f>
        <v>-137</v>
      </c>
      <c r="J69" s="13"/>
      <c r="K69" s="13">
        <f>ROUND(K46-K66,1)</f>
        <v>0</v>
      </c>
      <c r="L69" s="13"/>
      <c r="M69" s="13">
        <f>ROUND(M46-M66,1)</f>
        <v>0</v>
      </c>
      <c r="N69" s="13"/>
      <c r="O69" s="13">
        <f>ROUND(O46-O66,1)</f>
        <v>0</v>
      </c>
      <c r="P69" s="13"/>
      <c r="Q69" s="13">
        <f>ROUND(Q46-Q66,1)</f>
        <v>0</v>
      </c>
      <c r="R69" s="13"/>
      <c r="S69" s="13">
        <f>ROUND(S46-S66,1)</f>
        <v>0</v>
      </c>
      <c r="T69" s="13"/>
      <c r="U69" s="13">
        <f>ROUND(U46-U66,1)</f>
        <v>0</v>
      </c>
      <c r="V69" s="13"/>
      <c r="W69" s="13">
        <f>ROUND(W46-W66,1)</f>
        <v>0</v>
      </c>
      <c r="X69" s="13"/>
      <c r="Y69" s="13">
        <f>ROUND(Y46-Y66,1)</f>
        <v>0</v>
      </c>
      <c r="Z69" s="13"/>
      <c r="AA69" s="13">
        <f>ROUND(AA46-AA66,1)</f>
        <v>0</v>
      </c>
      <c r="AB69" s="13"/>
      <c r="AC69" s="14"/>
      <c r="AD69" s="13">
        <f>ROUND(AD46-AD66,1)</f>
        <v>-127</v>
      </c>
      <c r="AE69" s="1234"/>
      <c r="AF69" s="14"/>
      <c r="AG69" s="13">
        <f>ROUND(AG46-AG66,1)</f>
        <v>28.5</v>
      </c>
      <c r="AH69" s="13"/>
      <c r="AI69" s="98"/>
      <c r="AJ69" s="357">
        <f>ROUND(AD69-AG69,1)</f>
        <v>-155.5</v>
      </c>
      <c r="AK69" s="3"/>
      <c r="AL69" s="539">
        <f>ROUND(SUM(AD69-AG69)/ABS(AG69),3)</f>
        <v>-5.4560000000000004</v>
      </c>
      <c r="AM69" s="1627"/>
      <c r="AN69" s="1627"/>
    </row>
    <row r="70" spans="1:40" ht="15.75">
      <c r="A70" s="291"/>
      <c r="B70" s="291"/>
      <c r="C70" s="291"/>
      <c r="D70" s="291"/>
      <c r="E70" s="615"/>
      <c r="F70" s="264"/>
      <c r="G70" s="615"/>
      <c r="H70" s="264"/>
      <c r="I70" s="615"/>
      <c r="J70" s="264"/>
      <c r="K70" s="615"/>
      <c r="L70" s="264"/>
      <c r="M70" s="615"/>
      <c r="N70" s="264"/>
      <c r="O70" s="615"/>
      <c r="P70" s="264"/>
      <c r="Q70" s="615"/>
      <c r="R70" s="264"/>
      <c r="S70" s="615"/>
      <c r="T70" s="264"/>
      <c r="U70" s="615"/>
      <c r="V70" s="264"/>
      <c r="W70" s="615"/>
      <c r="X70" s="264"/>
      <c r="Y70" s="615"/>
      <c r="Z70" s="264"/>
      <c r="AA70" s="615"/>
      <c r="AB70" s="264"/>
      <c r="AC70" s="523"/>
      <c r="AD70" s="615"/>
      <c r="AE70" s="1232"/>
      <c r="AF70" s="523"/>
      <c r="AG70" s="615"/>
      <c r="AH70" s="264"/>
      <c r="AI70" s="98"/>
      <c r="AJ70" s="12"/>
      <c r="AL70" s="96"/>
      <c r="AM70" s="1627"/>
      <c r="AN70" s="1627"/>
    </row>
    <row r="71" spans="1:40" ht="15.75">
      <c r="A71" s="291"/>
      <c r="B71" s="3" t="s">
        <v>572</v>
      </c>
      <c r="C71" s="291"/>
      <c r="D71" s="291"/>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523"/>
      <c r="AD71" s="367"/>
      <c r="AE71" s="1232"/>
      <c r="AF71" s="523"/>
      <c r="AG71" s="367"/>
      <c r="AH71" s="367"/>
      <c r="AI71" s="100"/>
      <c r="AJ71" s="12"/>
      <c r="AL71" s="96"/>
      <c r="AM71" s="1627"/>
      <c r="AN71" s="1627"/>
    </row>
    <row r="72" spans="1:40" ht="15.75">
      <c r="A72" s="291"/>
      <c r="B72" s="412" t="s">
        <v>585</v>
      </c>
      <c r="C72" s="291"/>
      <c r="D72" s="291"/>
      <c r="E72" s="264">
        <v>0</v>
      </c>
      <c r="F72" s="264"/>
      <c r="G72" s="264">
        <v>0</v>
      </c>
      <c r="H72" s="264"/>
      <c r="I72" s="264">
        <f>$AD72-G72-E72</f>
        <v>0</v>
      </c>
      <c r="J72" s="264"/>
      <c r="K72" s="264"/>
      <c r="L72" s="264"/>
      <c r="M72" s="264"/>
      <c r="N72" s="264"/>
      <c r="O72" s="264"/>
      <c r="P72" s="264"/>
      <c r="Q72" s="264"/>
      <c r="R72" s="264"/>
      <c r="S72" s="289"/>
      <c r="T72" s="289"/>
      <c r="U72" s="289"/>
      <c r="V72" s="264"/>
      <c r="W72" s="289"/>
      <c r="X72" s="264"/>
      <c r="Y72" s="289"/>
      <c r="Z72" s="264"/>
      <c r="AA72" s="289"/>
      <c r="AB72" s="264"/>
      <c r="AC72" s="523"/>
      <c r="AD72" s="531">
        <v>0</v>
      </c>
      <c r="AE72" s="287"/>
      <c r="AF72" s="1763"/>
      <c r="AG72" s="531">
        <v>0</v>
      </c>
      <c r="AH72" s="287"/>
      <c r="AI72" s="97"/>
      <c r="AJ72" s="1077">
        <f>ROUND(AD72-AG72,1)</f>
        <v>0</v>
      </c>
      <c r="AL72" s="374">
        <f>ROUND(IF(AG72=0,0,AJ72/ABS(AG72)),3)</f>
        <v>0</v>
      </c>
      <c r="AM72" s="1627"/>
      <c r="AN72" s="1627"/>
    </row>
    <row r="73" spans="1:40" ht="15.75">
      <c r="A73" s="291"/>
      <c r="B73" s="412" t="s">
        <v>586</v>
      </c>
      <c r="C73" s="291"/>
      <c r="D73" s="291"/>
      <c r="E73" s="264">
        <v>0</v>
      </c>
      <c r="F73" s="264"/>
      <c r="G73" s="264">
        <v>0</v>
      </c>
      <c r="H73" s="264"/>
      <c r="I73" s="264">
        <f>$AD73-G73-E73</f>
        <v>0</v>
      </c>
      <c r="J73" s="264"/>
      <c r="K73" s="264"/>
      <c r="L73" s="264"/>
      <c r="M73" s="264"/>
      <c r="N73" s="264"/>
      <c r="O73" s="264"/>
      <c r="P73" s="264"/>
      <c r="Q73" s="264"/>
      <c r="R73" s="264"/>
      <c r="S73" s="289"/>
      <c r="T73" s="289"/>
      <c r="U73" s="289"/>
      <c r="V73" s="264"/>
      <c r="W73" s="289"/>
      <c r="X73" s="264"/>
      <c r="Y73" s="289"/>
      <c r="Z73" s="289"/>
      <c r="AA73" s="289"/>
      <c r="AB73" s="264"/>
      <c r="AC73" s="523"/>
      <c r="AD73" s="985">
        <v>0</v>
      </c>
      <c r="AE73" s="287"/>
      <c r="AF73" s="1763"/>
      <c r="AG73" s="985">
        <v>0</v>
      </c>
      <c r="AH73" s="264"/>
      <c r="AI73" s="98"/>
      <c r="AJ73" s="1076">
        <f>-ROUND(AD73-AG73,1)</f>
        <v>0</v>
      </c>
      <c r="AL73" s="374">
        <f>ROUND(IF(AG73=0,0,AJ73/ABS(AG73)),3)</f>
        <v>0</v>
      </c>
      <c r="AM73" s="1627"/>
      <c r="AN73" s="1627"/>
    </row>
    <row r="74" spans="1:40" ht="15.75">
      <c r="A74" s="291"/>
      <c r="B74" s="291"/>
      <c r="C74" s="291"/>
      <c r="D74" s="291"/>
      <c r="E74" s="615"/>
      <c r="F74" s="264"/>
      <c r="G74" s="615"/>
      <c r="H74" s="264"/>
      <c r="I74" s="615"/>
      <c r="J74" s="264"/>
      <c r="K74" s="615"/>
      <c r="L74" s="264"/>
      <c r="M74" s="615"/>
      <c r="N74" s="264"/>
      <c r="O74" s="615"/>
      <c r="P74" s="264"/>
      <c r="Q74" s="615"/>
      <c r="R74" s="264"/>
      <c r="S74" s="615"/>
      <c r="T74" s="264"/>
      <c r="U74" s="615"/>
      <c r="V74" s="264"/>
      <c r="W74" s="617"/>
      <c r="X74" s="264"/>
      <c r="Y74" s="615"/>
      <c r="Z74" s="264"/>
      <c r="AA74" s="615"/>
      <c r="AB74" s="264"/>
      <c r="AC74" s="523"/>
      <c r="AD74" s="12"/>
      <c r="AE74" s="1232"/>
      <c r="AF74" s="523"/>
      <c r="AG74" s="12"/>
      <c r="AH74" s="12"/>
      <c r="AI74" s="98"/>
      <c r="AJ74" s="1764"/>
      <c r="AK74" s="1765"/>
      <c r="AL74" s="1766"/>
      <c r="AM74" s="1627"/>
      <c r="AN74" s="1627"/>
    </row>
    <row r="75" spans="1:40" ht="15.75">
      <c r="A75" s="291"/>
      <c r="B75" s="3" t="s">
        <v>587</v>
      </c>
      <c r="C75" s="291"/>
      <c r="D75" s="291"/>
      <c r="E75" s="16">
        <f>ROUND(SUM(E72:E74),1)</f>
        <v>0</v>
      </c>
      <c r="F75" s="264"/>
      <c r="G75" s="16">
        <v>0</v>
      </c>
      <c r="H75" s="264"/>
      <c r="I75" s="16">
        <f>ROUND(SUM(I72:I74),1)</f>
        <v>0</v>
      </c>
      <c r="J75" s="264"/>
      <c r="K75" s="16">
        <f>ROUND(SUM(K72:K74),1)</f>
        <v>0</v>
      </c>
      <c r="L75" s="264"/>
      <c r="M75" s="16">
        <f>ROUND(SUM(M72:M74),1)</f>
        <v>0</v>
      </c>
      <c r="N75" s="264"/>
      <c r="O75" s="16">
        <f>ROUND(SUM(O72:O74),1)</f>
        <v>0</v>
      </c>
      <c r="P75" s="264"/>
      <c r="Q75" s="16">
        <f>ROUND(SUM(Q72:Q74),1)</f>
        <v>0</v>
      </c>
      <c r="R75" s="367"/>
      <c r="S75" s="16">
        <f>ROUND(SUM(S72:S74),1)</f>
        <v>0</v>
      </c>
      <c r="T75" s="264"/>
      <c r="U75" s="16">
        <f>ROUND(SUM(U72:U74),1)</f>
        <v>0</v>
      </c>
      <c r="V75" s="264"/>
      <c r="W75" s="16">
        <f>ROUND(SUM(W72:W74),1)</f>
        <v>0</v>
      </c>
      <c r="X75" s="264"/>
      <c r="Y75" s="16">
        <f>ROUND(SUM(Y72:Y74),1)</f>
        <v>0</v>
      </c>
      <c r="Z75" s="287"/>
      <c r="AA75" s="16">
        <f>ROUND(SUM(AA72:AA74),1)</f>
        <v>0</v>
      </c>
      <c r="AB75" s="264"/>
      <c r="AC75" s="523"/>
      <c r="AD75" s="16">
        <f>ROUND(SUM(AD72:AD74),1)</f>
        <v>0</v>
      </c>
      <c r="AE75" s="1232"/>
      <c r="AF75" s="523"/>
      <c r="AG75" s="16">
        <f>ROUND(SUM(AG72:AG74),1)</f>
        <v>0</v>
      </c>
      <c r="AH75" s="264"/>
      <c r="AI75" s="98"/>
      <c r="AJ75" s="16">
        <f>ROUND(SUM(AD75-AG75),1)</f>
        <v>0</v>
      </c>
      <c r="AK75" s="1765"/>
      <c r="AL75" s="539">
        <f>ROUND(IF(AG75=0,0,AJ75/ABS(AG75)),3)</f>
        <v>0</v>
      </c>
      <c r="AM75" s="1627"/>
      <c r="AN75" s="1627"/>
    </row>
    <row r="76" spans="1:40" ht="15.75">
      <c r="A76" s="291"/>
      <c r="B76" s="291"/>
      <c r="C76" s="291"/>
      <c r="D76" s="291"/>
      <c r="E76" s="615"/>
      <c r="F76" s="264"/>
      <c r="G76" s="615"/>
      <c r="H76" s="264"/>
      <c r="I76" s="615"/>
      <c r="J76" s="264"/>
      <c r="K76" s="615"/>
      <c r="L76" s="264"/>
      <c r="M76" s="615"/>
      <c r="N76" s="264"/>
      <c r="O76" s="615"/>
      <c r="P76" s="264"/>
      <c r="Q76" s="615"/>
      <c r="R76" s="264"/>
      <c r="S76" s="615"/>
      <c r="T76" s="264"/>
      <c r="U76" s="615"/>
      <c r="V76" s="264"/>
      <c r="W76" s="615"/>
      <c r="X76" s="264"/>
      <c r="Y76" s="615"/>
      <c r="Z76" s="264"/>
      <c r="AA76" s="615"/>
      <c r="AB76" s="264"/>
      <c r="AC76" s="523"/>
      <c r="AD76" s="615"/>
      <c r="AE76" s="1232"/>
      <c r="AF76" s="523"/>
      <c r="AG76" s="615"/>
      <c r="AH76" s="264"/>
      <c r="AI76" s="98"/>
      <c r="AJ76" s="615"/>
      <c r="AL76" s="1029"/>
      <c r="AM76" s="1627"/>
      <c r="AN76" s="1627"/>
    </row>
    <row r="77" spans="1:40" ht="15.75">
      <c r="A77" s="291"/>
      <c r="B77" s="3" t="s">
        <v>576</v>
      </c>
      <c r="C77" s="291"/>
      <c r="D77" s="291"/>
      <c r="E77" s="264" t="s">
        <v>103</v>
      </c>
      <c r="F77" s="264" t="s">
        <v>103</v>
      </c>
      <c r="G77" s="264" t="s">
        <v>103</v>
      </c>
      <c r="H77" s="264"/>
      <c r="I77" s="264" t="s">
        <v>103</v>
      </c>
      <c r="J77" s="264"/>
      <c r="K77" s="264" t="s">
        <v>103</v>
      </c>
      <c r="L77" s="264"/>
      <c r="M77" s="264" t="s">
        <v>103</v>
      </c>
      <c r="N77" s="264"/>
      <c r="O77" s="264" t="s">
        <v>103</v>
      </c>
      <c r="P77" s="264"/>
      <c r="Q77" s="264" t="s">
        <v>103</v>
      </c>
      <c r="R77" s="264"/>
      <c r="S77" s="264" t="s">
        <v>103</v>
      </c>
      <c r="T77" s="264"/>
      <c r="U77" s="264" t="s">
        <v>103</v>
      </c>
      <c r="V77" s="264"/>
      <c r="W77" s="264" t="s">
        <v>103</v>
      </c>
      <c r="X77" s="264"/>
      <c r="Y77" s="264" t="s">
        <v>103</v>
      </c>
      <c r="Z77" s="264"/>
      <c r="AA77" s="264" t="s">
        <v>103</v>
      </c>
      <c r="AB77" s="264"/>
      <c r="AC77" s="523"/>
      <c r="AD77" s="264"/>
      <c r="AE77" s="1232"/>
      <c r="AF77" s="523"/>
      <c r="AG77" s="264"/>
      <c r="AH77" s="264"/>
      <c r="AI77" s="98"/>
      <c r="AJ77" s="12"/>
      <c r="AL77" s="96"/>
      <c r="AM77" s="1627"/>
      <c r="AN77" s="1627"/>
    </row>
    <row r="78" spans="1:40" ht="15.75">
      <c r="A78" s="291"/>
      <c r="B78" s="3" t="s">
        <v>577</v>
      </c>
      <c r="C78" s="291"/>
      <c r="D78" s="291"/>
      <c r="E78" s="264"/>
      <c r="F78" s="264"/>
      <c r="G78" s="264" t="s">
        <v>103</v>
      </c>
      <c r="H78" s="264"/>
      <c r="I78" s="264" t="s">
        <v>103</v>
      </c>
      <c r="J78" s="264"/>
      <c r="K78" s="264" t="s">
        <v>103</v>
      </c>
      <c r="L78" s="264"/>
      <c r="M78" s="264" t="s">
        <v>103</v>
      </c>
      <c r="N78" s="264"/>
      <c r="O78" s="264" t="s">
        <v>103</v>
      </c>
      <c r="P78" s="264"/>
      <c r="Q78" s="264" t="s">
        <v>103</v>
      </c>
      <c r="R78" s="264"/>
      <c r="S78" s="264" t="s">
        <v>103</v>
      </c>
      <c r="T78" s="264"/>
      <c r="U78" s="264" t="s">
        <v>103</v>
      </c>
      <c r="V78" s="264"/>
      <c r="W78" s="264" t="s">
        <v>103</v>
      </c>
      <c r="X78" s="264"/>
      <c r="Y78" s="264" t="s">
        <v>103</v>
      </c>
      <c r="Z78" s="264"/>
      <c r="AA78" s="264" t="s">
        <v>103</v>
      </c>
      <c r="AB78" s="264"/>
      <c r="AC78" s="523"/>
      <c r="AD78" s="264"/>
      <c r="AE78" s="1232"/>
      <c r="AF78" s="523"/>
      <c r="AG78" s="264"/>
      <c r="AH78" s="264"/>
      <c r="AI78" s="98"/>
      <c r="AJ78" s="12"/>
      <c r="AL78" s="96"/>
      <c r="AM78" s="1627"/>
      <c r="AN78" s="1627"/>
    </row>
    <row r="79" spans="1:40" ht="15.75">
      <c r="A79" s="291"/>
      <c r="B79" s="3" t="s">
        <v>471</v>
      </c>
      <c r="C79" s="291"/>
      <c r="D79" s="291"/>
      <c r="E79" s="357">
        <f>ROUND(E69+E75,1)</f>
        <v>10.6</v>
      </c>
      <c r="F79" s="264"/>
      <c r="G79" s="357">
        <f>ROUND(G69+G75,1)</f>
        <v>-0.6</v>
      </c>
      <c r="H79" s="264"/>
      <c r="I79" s="357">
        <f>ROUND(I69+I75,1)</f>
        <v>-137</v>
      </c>
      <c r="J79" s="264"/>
      <c r="K79" s="357">
        <f>ROUND(K69+K75,1)</f>
        <v>0</v>
      </c>
      <c r="L79" s="264"/>
      <c r="M79" s="357">
        <f>ROUND(M69+M75,1)</f>
        <v>0</v>
      </c>
      <c r="N79" s="264"/>
      <c r="O79" s="357">
        <f>ROUND(O69+O75,1)</f>
        <v>0</v>
      </c>
      <c r="P79" s="264"/>
      <c r="Q79" s="357">
        <f>ROUND(Q69+Q75,1)</f>
        <v>0</v>
      </c>
      <c r="R79" s="264"/>
      <c r="S79" s="357">
        <f>ROUND(S69+S75,1)</f>
        <v>0</v>
      </c>
      <c r="T79" s="264"/>
      <c r="U79" s="357">
        <f>ROUND(U69+U75,1)</f>
        <v>0</v>
      </c>
      <c r="V79" s="264"/>
      <c r="W79" s="357">
        <f>ROUND(W69+W75,1)</f>
        <v>0</v>
      </c>
      <c r="X79" s="264"/>
      <c r="Y79" s="357">
        <f>ROUND(Y69+Y75,1)</f>
        <v>0</v>
      </c>
      <c r="Z79" s="264"/>
      <c r="AA79" s="357">
        <f>ROUND(AA69+AA75,1)</f>
        <v>0</v>
      </c>
      <c r="AB79" s="264"/>
      <c r="AC79" s="524"/>
      <c r="AD79" s="357">
        <f>ROUND(AD69+AD75,1)</f>
        <v>-127</v>
      </c>
      <c r="AE79" s="1767"/>
      <c r="AF79" s="855"/>
      <c r="AG79" s="357">
        <f>ROUND(AG69+AG75,1)</f>
        <v>28.5</v>
      </c>
      <c r="AH79" s="610"/>
      <c r="AI79" s="1768"/>
      <c r="AJ79" s="357">
        <f>ROUND(AD79-AG79,1)</f>
        <v>-155.5</v>
      </c>
      <c r="AK79" s="13"/>
      <c r="AL79" s="539">
        <f>ROUND(SUM(AD79-AG79)/ABS(AG79),3)</f>
        <v>-5.4560000000000004</v>
      </c>
      <c r="AM79" s="1627"/>
      <c r="AN79" s="1627"/>
    </row>
    <row r="80" spans="1:40" ht="15.75">
      <c r="A80" s="291"/>
      <c r="B80" s="3"/>
      <c r="C80" s="291"/>
      <c r="D80" s="291"/>
      <c r="E80" s="20"/>
      <c r="F80" s="264"/>
      <c r="G80" s="20"/>
      <c r="H80" s="264"/>
      <c r="I80" s="20"/>
      <c r="J80" s="264"/>
      <c r="K80" s="20"/>
      <c r="L80" s="264"/>
      <c r="M80" s="20"/>
      <c r="N80" s="264"/>
      <c r="O80" s="20"/>
      <c r="P80" s="264"/>
      <c r="Q80" s="20"/>
      <c r="R80" s="264"/>
      <c r="S80" s="20"/>
      <c r="T80" s="264"/>
      <c r="U80" s="20"/>
      <c r="V80" s="264"/>
      <c r="W80" s="20"/>
      <c r="X80" s="264"/>
      <c r="Y80" s="20"/>
      <c r="Z80" s="264"/>
      <c r="AA80" s="20"/>
      <c r="AB80" s="264"/>
      <c r="AC80" s="524"/>
      <c r="AD80" s="20"/>
      <c r="AE80" s="1769"/>
      <c r="AF80" s="1770"/>
      <c r="AG80" s="20"/>
      <c r="AH80" s="1769"/>
      <c r="AI80" s="1771"/>
      <c r="AJ80" s="20"/>
      <c r="AK80" s="3"/>
      <c r="AL80" s="543"/>
      <c r="AM80" s="1627"/>
      <c r="AN80" s="1627"/>
    </row>
    <row r="81" spans="1:40" ht="16.5" thickBot="1">
      <c r="A81" s="291"/>
      <c r="B81" s="3" t="s">
        <v>532</v>
      </c>
      <c r="C81" s="291"/>
      <c r="D81" s="291"/>
      <c r="E81" s="70">
        <f>ROUND(SUM(E13+E79),1)</f>
        <v>-266.10000000000002</v>
      </c>
      <c r="F81" s="264"/>
      <c r="G81" s="70">
        <f>ROUND(SUM(G13+G79),1)</f>
        <v>-266.7</v>
      </c>
      <c r="H81" s="264"/>
      <c r="I81" s="70">
        <f>ROUND(SUM(I13+I79),1)</f>
        <v>-403.7</v>
      </c>
      <c r="J81" s="264"/>
      <c r="K81" s="70">
        <f>ROUND(SUM(K13+K79),1)</f>
        <v>0</v>
      </c>
      <c r="L81" s="264"/>
      <c r="M81" s="70">
        <f>ROUND(SUM(M13+M79),1)</f>
        <v>0</v>
      </c>
      <c r="N81" s="264"/>
      <c r="O81" s="70">
        <f>ROUND(SUM(O13+O79),1)</f>
        <v>0</v>
      </c>
      <c r="P81" s="264"/>
      <c r="Q81" s="70">
        <f>ROUND(SUM(Q13+Q79),1)</f>
        <v>0</v>
      </c>
      <c r="R81" s="264"/>
      <c r="S81" s="70">
        <f>ROUND(SUM(S13+S79),1)</f>
        <v>0</v>
      </c>
      <c r="T81" s="264"/>
      <c r="U81" s="70">
        <f>ROUND(SUM(U13+U79),1)</f>
        <v>0</v>
      </c>
      <c r="V81" s="264"/>
      <c r="W81" s="70">
        <f>ROUND(SUM(W13+W79),1)</f>
        <v>0</v>
      </c>
      <c r="X81" s="264"/>
      <c r="Y81" s="70">
        <f>ROUND(SUM(Y13+Y79),1)</f>
        <v>0</v>
      </c>
      <c r="Z81" s="264"/>
      <c r="AA81" s="70">
        <f>ROUND(SUM(AA13+AA79),1)</f>
        <v>0</v>
      </c>
      <c r="AB81" s="264"/>
      <c r="AC81" s="524"/>
      <c r="AD81" s="70">
        <f>ROUND(SUM(AD13+AD79),1)</f>
        <v>-403.7</v>
      </c>
      <c r="AE81" s="1769"/>
      <c r="AF81" s="1770"/>
      <c r="AG81" s="70">
        <f>ROUND(SUM(AG13+AG79),1)</f>
        <v>-350.2</v>
      </c>
      <c r="AH81" s="1769"/>
      <c r="AI81" s="1771"/>
      <c r="AJ81" s="70">
        <f>ROUND(SUM(AJ13+AJ79),1)</f>
        <v>-53.5</v>
      </c>
      <c r="AK81" s="3"/>
      <c r="AL81" s="974">
        <f>ROUND(SUM(AD81-AG81)/ABS(AG81),3)</f>
        <v>-0.153</v>
      </c>
      <c r="AM81" s="1627"/>
      <c r="AN81" s="1627"/>
    </row>
    <row r="82" spans="1:40" ht="16.5" thickTop="1">
      <c r="A82" s="291"/>
      <c r="B82" s="291"/>
      <c r="C82" s="291"/>
      <c r="D82" s="291"/>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40"/>
      <c r="AL82" s="1772"/>
    </row>
    <row r="83" spans="1:40">
      <c r="A83" s="291"/>
      <c r="B83" s="925"/>
      <c r="C83" s="291"/>
      <c r="D83" s="291"/>
      <c r="E83" s="291"/>
      <c r="F83" s="291"/>
      <c r="G83" s="291"/>
      <c r="H83" s="291"/>
      <c r="I83" s="291"/>
      <c r="J83" s="291"/>
      <c r="K83" s="291"/>
      <c r="L83" s="291"/>
      <c r="M83" s="291"/>
      <c r="N83" s="291"/>
      <c r="O83" s="291"/>
      <c r="P83" s="291"/>
      <c r="Q83" s="291"/>
      <c r="R83" s="291"/>
      <c r="S83" s="405" t="s">
        <v>103</v>
      </c>
      <c r="T83" s="291"/>
      <c r="U83" s="405" t="s">
        <v>103</v>
      </c>
      <c r="V83" s="291"/>
      <c r="W83" s="291"/>
      <c r="X83" s="291"/>
      <c r="Y83" s="291"/>
      <c r="Z83" s="291"/>
      <c r="AA83" s="291"/>
      <c r="AB83" s="291"/>
      <c r="AC83" s="291"/>
      <c r="AD83" s="291"/>
      <c r="AE83" s="291"/>
      <c r="AF83" s="291"/>
      <c r="AG83" s="291"/>
      <c r="AH83" s="291"/>
      <c r="AI83" s="291"/>
      <c r="AL83" s="96"/>
    </row>
    <row r="84" spans="1:40">
      <c r="B84" s="291"/>
      <c r="Y84" s="886" t="s">
        <v>103</v>
      </c>
      <c r="AJ84" s="23" t="s">
        <v>103</v>
      </c>
      <c r="AL84" s="96"/>
    </row>
    <row r="89" spans="1:40">
      <c r="AD89" s="12"/>
    </row>
  </sheetData>
  <customSheetViews>
    <customSheetView guid="{83D69B98-1714-4D17-901F-87B47BE66947}" scale="80" showPageBreaks="1" showGridLines="0" fitToPage="1" printArea="1" topLeftCell="C46">
      <selection activeCell="C1" sqref="C1"/>
      <pageMargins left="0.25" right="0.25" top="0.5" bottom="0.25" header="0" footer="0.25"/>
      <printOptions horizontalCentered="1"/>
      <pageSetup scale="42" firstPageNumber="33" fitToHeight="0" orientation="landscape" useFirstPageNumber="1" r:id="rId1"/>
      <headerFooter scaleWithDoc="0" alignWithMargins="0">
        <oddFooter>&amp;C&amp;8&amp;P</oddFooter>
      </headerFooter>
    </customSheetView>
    <customSheetView guid="{F9AE1502-86F7-4AAA-AE66-F6A75A634C1B}"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2"/>
      <headerFooter scaleWithDoc="0" alignWithMargins="0">
        <oddFooter>&amp;C&amp;8&amp;P</oddFooter>
      </headerFooter>
    </customSheetView>
    <customSheetView guid="{C41E3923-0A88-49D0-AE43-0E74D386A056}" scale="70" showPageBreaks="1" showGridLines="0" fitToPage="1" printArea="1" topLeftCell="A37">
      <selection activeCell="AL52" sqref="AL52"/>
      <pageMargins left="0.25" right="0.25" top="0.5" bottom="0.25" header="0" footer="0.25"/>
      <printOptions horizontalCentered="1"/>
      <pageSetup scale="42" firstPageNumber="33" fitToHeight="0" orientation="landscape" useFirstPageNumber="1" r:id="rId3"/>
      <headerFooter scaleWithDoc="0" alignWithMargins="0">
        <oddFooter>&amp;C&amp;8&amp;P</oddFooter>
      </headerFooter>
    </customSheetView>
    <customSheetView guid="{1DF171D7-3BFC-49F6-B708-0F91FCFAB6E2}"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4"/>
      <headerFooter scaleWithDoc="0" alignWithMargins="0">
        <oddFooter>&amp;C&amp;8&amp;P</oddFooter>
      </headerFooter>
    </customSheetView>
    <customSheetView guid="{9F00D83C-7F4F-41B5-9976-8610D9EBC976}"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C14">
      <selection activeCell="I44" sqref="I44"/>
      <pageMargins left="0.25" right="0.25" top="0.5" bottom="0.25" header="0" footer="0.25"/>
      <printOptions horizontalCentered="1"/>
      <pageSetup scale="42" firstPageNumber="33" fitToHeight="0"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I60">
      <selection activeCell="AL57" sqref="AL57"/>
      <pageMargins left="0.25" right="0.25" top="0.5" bottom="0.25" header="0" footer="0.25"/>
      <printOptions horizontalCentered="1"/>
      <pageSetup scale="42" firstPageNumber="33" fitToHeight="0" orientation="landscape" useFirstPageNumber="1" r:id="rId7"/>
      <headerFooter scaleWithDoc="0" alignWithMargins="0">
        <oddFooter>&amp;C&amp;8&amp;P</oddFooter>
      </headerFooter>
    </customSheetView>
    <customSheetView guid="{C3636880-B45B-4897-94F2-F91976416934}" scale="80" showPageBreaks="1" showGridLines="0" fitToPage="1" printArea="1">
      <selection activeCell="C46" sqref="C46"/>
      <pageMargins left="0.25" right="0.25" top="0.5" bottom="0.25" header="0" footer="0.25"/>
      <printOptions horizontalCentered="1"/>
      <pageSetup scale="42" firstPageNumber="33" fitToHeight="0" orientation="landscape" useFirstPageNumber="1" r:id="rId8"/>
      <headerFooter scaleWithDoc="0" alignWithMargins="0">
        <oddFooter>&amp;C&amp;8&amp;P</oddFooter>
      </headerFooter>
    </customSheetView>
  </customSheetViews>
  <mergeCells count="1">
    <mergeCell ref="AC9:AL9"/>
  </mergeCells>
  <printOptions horizontalCentered="1"/>
  <pageMargins left="0.25" right="0.25" top="0.5" bottom="0.25" header="0" footer="0.25"/>
  <pageSetup scale="42" firstPageNumber="33" fitToHeight="0" orientation="landscape" useFirstPageNumber="1" r:id="rId9"/>
  <headerFooter scaleWithDoc="0" alignWithMargins="0">
    <oddFooter>&amp;C&amp;8&amp;P</oddFooter>
  </headerFooter>
  <customProperties>
    <customPr name="SheetOptions" r:id="rId10"/>
  </customProperties>
  <ignoredErrors>
    <ignoredError sqref="AL29:AL33 AL61:AL64 AL56:AL57 AL35:AL37 AL21:AL27 AL38:AL40 AL52:AL53 AL42 AL44 AL50 AL72:AL73" unlockedFormula="1"/>
    <ignoredError sqref="AL51" formula="1"/>
    <ignoredError sqref="AL28" formula="1" unlockedFormula="1"/>
    <ignoredError sqref="E42 G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90" workbookViewId="0"/>
  </sheetViews>
  <sheetFormatPr defaultColWidth="8.88671875" defaultRowHeight="15"/>
  <cols>
    <col min="1" max="1" width="40.109375" style="58" customWidth="1"/>
    <col min="2" max="2" width="1.88671875" style="58" customWidth="1"/>
    <col min="3" max="3" width="11.88671875" style="58" customWidth="1"/>
    <col min="4" max="4" width="1.88671875" style="58" customWidth="1"/>
    <col min="5" max="5" width="11.88671875" style="58" customWidth="1"/>
    <col min="6" max="6" width="1.88671875" style="58" customWidth="1"/>
    <col min="7" max="7" width="11.88671875" style="58" customWidth="1"/>
    <col min="8" max="8" width="1.88671875" style="58" customWidth="1"/>
    <col min="9" max="9" width="11.88671875" style="58" customWidth="1"/>
    <col min="10" max="10" width="1.5546875" style="58" customWidth="1"/>
    <col min="11" max="11" width="11.88671875" style="58" customWidth="1"/>
    <col min="12" max="12" width="1.5546875" style="58" customWidth="1"/>
    <col min="13" max="13" width="12.88671875" style="58" customWidth="1"/>
    <col min="14" max="14" width="1.88671875" style="58" customWidth="1"/>
    <col min="15" max="15" width="11.88671875" style="58" customWidth="1"/>
    <col min="16" max="16" width="1.88671875" style="58" customWidth="1"/>
    <col min="17" max="17" width="11.88671875" style="58" customWidth="1"/>
    <col min="18" max="18" width="1.88671875" style="58" customWidth="1"/>
    <col min="19" max="19" width="11.88671875" style="58" customWidth="1"/>
    <col min="20" max="20" width="1.88671875" style="58" customWidth="1"/>
    <col min="21" max="21" width="11.88671875" style="58" customWidth="1"/>
    <col min="22" max="22" width="1.88671875" style="58" customWidth="1"/>
    <col min="23" max="23" width="11.88671875" style="58" customWidth="1"/>
    <col min="24" max="24" width="1.88671875" style="58" customWidth="1"/>
    <col min="25" max="25" width="11.88671875" style="58" customWidth="1"/>
    <col min="26" max="27" width="1.109375" style="58" customWidth="1"/>
    <col min="28" max="28" width="11.88671875" style="58" customWidth="1"/>
    <col min="29" max="30" width="1.109375" style="58" customWidth="1"/>
    <col min="31" max="31" width="11.88671875" style="58" customWidth="1"/>
    <col min="32" max="32" width="1.109375" style="107" customWidth="1"/>
    <col min="33" max="33" width="1.109375" style="291" customWidth="1"/>
    <col min="34" max="34" width="11.88671875" style="291" customWidth="1"/>
    <col min="35" max="35" width="1.88671875" style="291" customWidth="1"/>
    <col min="36" max="36" width="11.88671875" style="291" customWidth="1"/>
    <col min="37" max="38" width="9.109375" style="58" bestFit="1" customWidth="1"/>
    <col min="39" max="16384" width="8.88671875" style="58"/>
  </cols>
  <sheetData>
    <row r="1" spans="1:38">
      <c r="A1" s="265" t="s">
        <v>97</v>
      </c>
    </row>
    <row r="2" spans="1:38">
      <c r="A2" s="62"/>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row>
    <row r="3" spans="1:38" ht="15.75">
      <c r="A3" s="187" t="s">
        <v>98</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291"/>
      <c r="AJ3" s="317" t="s">
        <v>588</v>
      </c>
    </row>
    <row r="4" spans="1:38" ht="15.75">
      <c r="A4" s="187" t="s">
        <v>589</v>
      </c>
      <c r="B4" s="62"/>
      <c r="C4" s="62"/>
      <c r="D4" s="62"/>
      <c r="E4" s="62"/>
      <c r="F4" s="62"/>
      <c r="G4" s="62"/>
      <c r="H4" s="62"/>
      <c r="I4" s="62" t="s">
        <v>103</v>
      </c>
      <c r="J4" s="62"/>
      <c r="K4" s="62"/>
      <c r="L4" s="62"/>
      <c r="M4" s="62"/>
      <c r="N4" s="62"/>
      <c r="O4" s="62"/>
      <c r="P4" s="62"/>
      <c r="Q4" s="62"/>
      <c r="R4" s="62"/>
      <c r="S4" s="62"/>
      <c r="T4" s="62"/>
      <c r="U4" s="62"/>
      <c r="V4" s="62"/>
      <c r="W4" s="62"/>
      <c r="X4" s="62"/>
      <c r="Y4" s="62" t="s">
        <v>103</v>
      </c>
      <c r="Z4" s="62"/>
      <c r="AA4" s="62"/>
      <c r="AB4" s="62"/>
      <c r="AC4" s="62"/>
      <c r="AD4" s="62"/>
      <c r="AE4" s="62"/>
      <c r="AF4" s="291"/>
    </row>
    <row r="5" spans="1:38" ht="15.75">
      <c r="A5" s="188" t="s">
        <v>328</v>
      </c>
      <c r="B5" s="62"/>
      <c r="C5" s="62"/>
      <c r="D5" s="62"/>
      <c r="E5" s="62"/>
      <c r="F5" s="62"/>
      <c r="G5" s="62"/>
      <c r="H5" s="62"/>
      <c r="I5" s="62"/>
      <c r="J5" s="62"/>
      <c r="K5" s="62"/>
      <c r="L5" s="62"/>
      <c r="M5" s="62"/>
      <c r="N5" s="62"/>
      <c r="O5" s="62"/>
      <c r="P5" s="62"/>
      <c r="Q5" s="62"/>
      <c r="R5" s="62"/>
      <c r="S5" s="62"/>
      <c r="T5" s="62"/>
      <c r="U5" s="62"/>
      <c r="V5" s="62"/>
      <c r="W5" s="62"/>
      <c r="X5" s="62"/>
      <c r="Y5" s="62"/>
      <c r="Z5" s="62"/>
      <c r="AA5" s="62"/>
      <c r="AF5" s="1215"/>
      <c r="AK5" s="187"/>
    </row>
    <row r="6" spans="1:38" ht="15.75">
      <c r="A6" s="188" t="str">
        <f>'Cashflow Governmental'!A6</f>
        <v>FISCAL YEAR 2026-2027</v>
      </c>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291"/>
    </row>
    <row r="7" spans="1:38" ht="15.75">
      <c r="A7" s="187" t="s">
        <v>102</v>
      </c>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291"/>
    </row>
    <row r="8" spans="1:38" ht="15.75">
      <c r="A8" s="187"/>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291"/>
    </row>
    <row r="9" spans="1:38">
      <c r="A9" s="62"/>
      <c r="B9" s="62"/>
      <c r="C9" s="1131"/>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291"/>
    </row>
    <row r="10" spans="1:38" ht="15.75">
      <c r="A10" s="62"/>
      <c r="B10" s="62"/>
      <c r="C10" s="1131"/>
      <c r="D10" s="62"/>
      <c r="E10" s="62"/>
      <c r="F10" s="62"/>
      <c r="G10" s="62"/>
      <c r="H10" s="62"/>
      <c r="I10" s="62"/>
      <c r="J10" s="62"/>
      <c r="K10" s="62"/>
      <c r="L10" s="62"/>
      <c r="M10" s="62"/>
      <c r="N10" s="62"/>
      <c r="O10" s="62"/>
      <c r="P10" s="62"/>
      <c r="Q10" s="62"/>
      <c r="R10" s="62"/>
      <c r="S10" s="62"/>
      <c r="T10" s="62"/>
      <c r="U10" s="62"/>
      <c r="V10" s="62"/>
      <c r="W10" s="62"/>
      <c r="X10" s="62"/>
      <c r="Y10" s="62"/>
      <c r="Z10" s="62"/>
      <c r="AA10" s="2065" t="str">
        <f>'Cashflow Governmental'!$AB$12</f>
        <v>3 Months Ended June 30</v>
      </c>
      <c r="AB10" s="2065"/>
      <c r="AC10" s="2065"/>
      <c r="AD10" s="2065"/>
      <c r="AE10" s="2065"/>
      <c r="AF10" s="2065"/>
      <c r="AG10" s="2065"/>
      <c r="AH10" s="2065"/>
      <c r="AI10" s="2065"/>
      <c r="AJ10" s="2065"/>
    </row>
    <row r="11" spans="1:38" ht="15.75">
      <c r="A11" s="62"/>
      <c r="B11" s="62"/>
      <c r="C11" s="558" t="str">
        <f>'Cashflow Governmental'!C13</f>
        <v>2026</v>
      </c>
      <c r="D11" s="187"/>
      <c r="E11" s="187"/>
      <c r="F11" s="187"/>
      <c r="G11" s="187"/>
      <c r="H11" s="187"/>
      <c r="I11" s="187"/>
      <c r="J11" s="187"/>
      <c r="K11" s="187"/>
      <c r="L11" s="187"/>
      <c r="M11" s="187"/>
      <c r="N11" s="187"/>
      <c r="O11" s="187"/>
      <c r="P11" s="187"/>
      <c r="Q11" s="187"/>
      <c r="R11" s="187"/>
      <c r="S11" s="187"/>
      <c r="T11" s="187"/>
      <c r="U11" s="558">
        <f>'Cashflow Governmental'!U13</f>
        <v>2027</v>
      </c>
      <c r="V11" s="187"/>
      <c r="W11" s="187"/>
      <c r="X11" s="187"/>
      <c r="Y11" s="187"/>
      <c r="Z11" s="187"/>
      <c r="AA11" s="187"/>
      <c r="AB11" s="187"/>
      <c r="AC11" s="187"/>
      <c r="AD11" s="187"/>
      <c r="AE11" s="187"/>
      <c r="AF11" s="1552"/>
      <c r="AG11" s="1553"/>
      <c r="AH11" s="320" t="s">
        <v>110</v>
      </c>
      <c r="AI11" s="320"/>
      <c r="AJ11" s="318" t="s">
        <v>111</v>
      </c>
    </row>
    <row r="12" spans="1:38" ht="15.75">
      <c r="A12" s="62"/>
      <c r="B12" s="62"/>
      <c r="C12" s="317" t="s">
        <v>329</v>
      </c>
      <c r="D12" s="187"/>
      <c r="E12" s="317" t="s">
        <v>330</v>
      </c>
      <c r="F12" s="187"/>
      <c r="G12" s="317" t="s">
        <v>331</v>
      </c>
      <c r="H12" s="187"/>
      <c r="I12" s="317" t="s">
        <v>332</v>
      </c>
      <c r="J12" s="187"/>
      <c r="K12" s="317" t="s">
        <v>333</v>
      </c>
      <c r="L12" s="187"/>
      <c r="M12" s="317" t="s">
        <v>445</v>
      </c>
      <c r="N12" s="187"/>
      <c r="O12" s="317" t="s">
        <v>446</v>
      </c>
      <c r="P12" s="187"/>
      <c r="Q12" s="317" t="s">
        <v>336</v>
      </c>
      <c r="R12" s="187"/>
      <c r="S12" s="317" t="s">
        <v>337</v>
      </c>
      <c r="T12" s="187"/>
      <c r="U12" s="317" t="s">
        <v>338</v>
      </c>
      <c r="V12" s="187"/>
      <c r="W12" s="317" t="s">
        <v>339</v>
      </c>
      <c r="X12" s="187"/>
      <c r="Y12" s="317" t="s">
        <v>447</v>
      </c>
      <c r="Z12" s="187"/>
      <c r="AA12" s="187"/>
      <c r="AB12" s="558" t="str">
        <f>'Cashflow Governmental'!AB14</f>
        <v>2026</v>
      </c>
      <c r="AC12" s="187" t="s">
        <v>103</v>
      </c>
      <c r="AD12" s="187"/>
      <c r="AE12" s="558" t="str">
        <f>'Cashflow Governmental'!AE14</f>
        <v>2025</v>
      </c>
      <c r="AF12" s="291"/>
      <c r="AG12" s="1554"/>
      <c r="AH12" s="415" t="s">
        <v>112</v>
      </c>
      <c r="AI12" s="320"/>
      <c r="AJ12" s="415" t="s">
        <v>113</v>
      </c>
    </row>
    <row r="13" spans="1:38" ht="8.85" customHeight="1">
      <c r="A13" s="62"/>
      <c r="B13" s="62"/>
      <c r="C13" s="1011"/>
      <c r="D13" s="62"/>
      <c r="E13" s="1011"/>
      <c r="F13" s="62"/>
      <c r="G13" s="1011"/>
      <c r="H13" s="62"/>
      <c r="I13" s="1011"/>
      <c r="J13" s="62"/>
      <c r="K13" s="1011"/>
      <c r="L13" s="62"/>
      <c r="M13" s="1011"/>
      <c r="N13" s="62"/>
      <c r="O13" s="1011"/>
      <c r="P13" s="62"/>
      <c r="Q13" s="1011"/>
      <c r="R13" s="62"/>
      <c r="S13" s="1011"/>
      <c r="T13" s="62"/>
      <c r="U13" s="1011"/>
      <c r="V13" s="62"/>
      <c r="W13" s="1011"/>
      <c r="X13" s="62"/>
      <c r="Y13" s="1011"/>
      <c r="Z13" s="62"/>
      <c r="AA13" s="62"/>
      <c r="AB13" s="1011"/>
      <c r="AC13" s="62"/>
      <c r="AD13" s="62"/>
      <c r="AE13" s="1011"/>
      <c r="AF13" s="291"/>
      <c r="AG13" s="1554"/>
    </row>
    <row r="14" spans="1:38" ht="15.75">
      <c r="A14" s="188" t="s">
        <v>341</v>
      </c>
      <c r="B14" s="62"/>
      <c r="C14" s="82">
        <v>1279.9000000000001</v>
      </c>
      <c r="D14" s="190"/>
      <c r="E14" s="190">
        <f>C49</f>
        <v>1221.5999999999999</v>
      </c>
      <c r="F14" s="190"/>
      <c r="G14" s="190">
        <f>E49</f>
        <v>1273.3</v>
      </c>
      <c r="H14" s="1555"/>
      <c r="I14" s="190"/>
      <c r="J14" s="190"/>
      <c r="K14" s="190"/>
      <c r="L14" s="1555"/>
      <c r="M14" s="190"/>
      <c r="N14" s="1555"/>
      <c r="O14" s="190"/>
      <c r="P14" s="1555"/>
      <c r="Q14" s="190"/>
      <c r="R14" s="190"/>
      <c r="S14" s="190"/>
      <c r="T14" s="190"/>
      <c r="U14" s="190"/>
      <c r="V14" s="190"/>
      <c r="W14" s="190"/>
      <c r="X14" s="190"/>
      <c r="Y14" s="190"/>
      <c r="Z14" s="190"/>
      <c r="AA14" s="857"/>
      <c r="AB14" s="190">
        <f>C14</f>
        <v>1279.9000000000001</v>
      </c>
      <c r="AC14" s="190"/>
      <c r="AD14" s="857"/>
      <c r="AE14" s="1943">
        <v>970.3</v>
      </c>
      <c r="AF14" s="288"/>
      <c r="AG14" s="1728"/>
      <c r="AH14" s="20">
        <f>ROUND(SUM(AB14-AE14),1)</f>
        <v>309.60000000000002</v>
      </c>
      <c r="AJ14" s="1755">
        <f>ROUND(IF(AH14=0,0,AH14/(AE14)),3)</f>
        <v>0.31900000000000001</v>
      </c>
      <c r="AK14" s="1526"/>
      <c r="AL14" s="1526"/>
    </row>
    <row r="15" spans="1:38" ht="15.75">
      <c r="A15" s="62"/>
      <c r="B15" s="62"/>
      <c r="C15" s="62" t="s">
        <v>103</v>
      </c>
      <c r="D15" s="62"/>
      <c r="E15" s="192"/>
      <c r="F15" s="192"/>
      <c r="G15" s="192"/>
      <c r="H15" s="192"/>
      <c r="I15" s="192"/>
      <c r="J15" s="192"/>
      <c r="K15" s="192"/>
      <c r="L15" s="192"/>
      <c r="M15" s="192"/>
      <c r="N15" s="192"/>
      <c r="O15" s="192"/>
      <c r="P15" s="192"/>
      <c r="Q15" s="192"/>
      <c r="R15" s="192"/>
      <c r="S15" s="192"/>
      <c r="T15" s="192"/>
      <c r="U15" s="192"/>
      <c r="V15" s="192"/>
      <c r="W15" s="192"/>
      <c r="X15" s="192"/>
      <c r="Y15" s="192"/>
      <c r="Z15" s="62"/>
      <c r="AA15" s="858"/>
      <c r="AB15" s="62" t="s">
        <v>103</v>
      </c>
      <c r="AC15" s="62"/>
      <c r="AD15" s="858"/>
      <c r="AE15" s="62" t="s">
        <v>103</v>
      </c>
      <c r="AF15" s="26"/>
      <c r="AG15" s="1728"/>
      <c r="AJ15" s="1756"/>
      <c r="AK15" s="1526"/>
      <c r="AL15" s="1526"/>
    </row>
    <row r="16" spans="1:38" ht="15.75">
      <c r="A16" s="187" t="s">
        <v>114</v>
      </c>
      <c r="B16" s="62"/>
      <c r="C16" s="62"/>
      <c r="D16" s="62"/>
      <c r="E16" s="192"/>
      <c r="F16" s="192"/>
      <c r="G16" s="192"/>
      <c r="H16" s="192"/>
      <c r="I16" s="192"/>
      <c r="J16" s="192"/>
      <c r="K16" s="192"/>
      <c r="L16" s="192"/>
      <c r="M16" s="192"/>
      <c r="N16" s="192"/>
      <c r="O16" s="192"/>
      <c r="P16" s="192"/>
      <c r="Q16" s="192"/>
      <c r="R16" s="192"/>
      <c r="S16" s="192"/>
      <c r="T16" s="192"/>
      <c r="U16" s="192"/>
      <c r="V16" s="192"/>
      <c r="W16" s="192"/>
      <c r="X16" s="192"/>
      <c r="Y16" s="192"/>
      <c r="Z16" s="62"/>
      <c r="AA16" s="858"/>
      <c r="AB16" s="62"/>
      <c r="AC16" s="62"/>
      <c r="AD16" s="858"/>
      <c r="AE16" s="62"/>
      <c r="AF16" s="264"/>
      <c r="AG16" s="1728"/>
      <c r="AJ16" s="1756"/>
      <c r="AK16" s="1526"/>
      <c r="AL16" s="1526"/>
    </row>
    <row r="17" spans="1:38">
      <c r="A17" s="62" t="s">
        <v>590</v>
      </c>
      <c r="B17" s="62"/>
      <c r="C17" s="194">
        <v>292.2</v>
      </c>
      <c r="D17" s="194"/>
      <c r="E17" s="194">
        <v>304.3</v>
      </c>
      <c r="F17" s="194"/>
      <c r="G17" s="194">
        <f>$AB17-E17-C17</f>
        <v>316.59999999999997</v>
      </c>
      <c r="H17" s="105"/>
      <c r="I17" s="194"/>
      <c r="J17" s="105"/>
      <c r="K17" s="194"/>
      <c r="L17" s="105"/>
      <c r="M17" s="194"/>
      <c r="N17" s="105"/>
      <c r="O17" s="194"/>
      <c r="P17" s="105"/>
      <c r="Q17" s="194"/>
      <c r="R17" s="194"/>
      <c r="S17" s="194"/>
      <c r="T17" s="194"/>
      <c r="U17" s="194"/>
      <c r="V17" s="194"/>
      <c r="W17" s="194"/>
      <c r="X17" s="194"/>
      <c r="Y17" s="194"/>
      <c r="Z17" s="194"/>
      <c r="AA17" s="861"/>
      <c r="AB17" s="531">
        <v>913.1</v>
      </c>
      <c r="AC17" s="264"/>
      <c r="AD17" s="524" t="s">
        <v>103</v>
      </c>
      <c r="AE17" s="531">
        <v>705.9</v>
      </c>
      <c r="AF17" s="264"/>
      <c r="AG17" s="1728"/>
      <c r="AH17" s="423">
        <f>ROUND(AB17-AE17,1)</f>
        <v>207.2</v>
      </c>
      <c r="AI17" s="268"/>
      <c r="AJ17" s="542">
        <f>ROUND(IF(AE17=0,0,AH17/ABS(AE17)),3)</f>
        <v>0.29399999999999998</v>
      </c>
      <c r="AK17" s="1526"/>
      <c r="AL17" s="1526"/>
    </row>
    <row r="18" spans="1:38" ht="15.75">
      <c r="A18" s="188" t="s">
        <v>1461</v>
      </c>
      <c r="B18" s="62"/>
      <c r="C18" s="194">
        <v>2.2000000000000002</v>
      </c>
      <c r="D18" s="194"/>
      <c r="E18" s="194">
        <v>1.6999999999999997</v>
      </c>
      <c r="F18" s="105"/>
      <c r="G18" s="194">
        <f t="shared" ref="G18:G19" si="0">$AB18-E18-C18</f>
        <v>2.0000000000000009</v>
      </c>
      <c r="H18" s="105"/>
      <c r="I18" s="194"/>
      <c r="J18" s="105"/>
      <c r="K18" s="194"/>
      <c r="L18" s="105"/>
      <c r="M18" s="194"/>
      <c r="N18" s="105"/>
      <c r="O18" s="194"/>
      <c r="P18" s="105"/>
      <c r="Q18" s="194"/>
      <c r="R18" s="105"/>
      <c r="S18" s="194"/>
      <c r="T18" s="105"/>
      <c r="U18" s="194"/>
      <c r="V18" s="105"/>
      <c r="W18" s="194"/>
      <c r="X18" s="105"/>
      <c r="Y18" s="194"/>
      <c r="Z18" s="194"/>
      <c r="AA18" s="861"/>
      <c r="AB18" s="531">
        <v>5.9</v>
      </c>
      <c r="AC18" s="264"/>
      <c r="AD18" s="524" t="s">
        <v>103</v>
      </c>
      <c r="AE18" s="531">
        <v>3</v>
      </c>
      <c r="AF18" s="264"/>
      <c r="AG18" s="1728"/>
      <c r="AH18" s="423">
        <f>ROUND(AB18-AE18,1)</f>
        <v>2.9</v>
      </c>
      <c r="AI18" s="268"/>
      <c r="AJ18" s="542">
        <f>ROUND(IF(AE18=0,0,AH18/ABS(AE18)),3)</f>
        <v>0.96699999999999997</v>
      </c>
      <c r="AK18" s="1526"/>
      <c r="AL18" s="1526"/>
    </row>
    <row r="19" spans="1:38">
      <c r="A19" s="1017" t="s">
        <v>591</v>
      </c>
      <c r="B19" s="62"/>
      <c r="C19" s="194">
        <v>314.8</v>
      </c>
      <c r="D19" s="194"/>
      <c r="E19" s="194">
        <v>302.3</v>
      </c>
      <c r="F19" s="105"/>
      <c r="G19" s="194">
        <f t="shared" si="0"/>
        <v>355.7999999999999</v>
      </c>
      <c r="H19" s="105"/>
      <c r="I19" s="194"/>
      <c r="J19" s="105"/>
      <c r="K19" s="194"/>
      <c r="L19" s="105"/>
      <c r="M19" s="194"/>
      <c r="N19" s="105"/>
      <c r="O19" s="194"/>
      <c r="P19" s="105"/>
      <c r="Q19" s="194"/>
      <c r="R19" s="105"/>
      <c r="S19" s="194"/>
      <c r="T19" s="105"/>
      <c r="U19" s="194"/>
      <c r="V19" s="105"/>
      <c r="W19" s="194"/>
      <c r="X19" s="105"/>
      <c r="Y19" s="194"/>
      <c r="Z19" s="194"/>
      <c r="AA19" s="861"/>
      <c r="AB19" s="531">
        <v>972.9</v>
      </c>
      <c r="AC19" s="264"/>
      <c r="AD19" s="524" t="s">
        <v>103</v>
      </c>
      <c r="AE19" s="531">
        <v>680.3</v>
      </c>
      <c r="AF19" s="275"/>
      <c r="AG19" s="402"/>
      <c r="AH19" s="1076">
        <f>ROUND(AB19-AE19,1)</f>
        <v>292.60000000000002</v>
      </c>
      <c r="AI19" s="268"/>
      <c r="AJ19" s="1025">
        <f>ROUND(IF(AE19=0,0,AH19/ABS(AE19)),3)</f>
        <v>0.43</v>
      </c>
      <c r="AK19" s="1526"/>
      <c r="AL19" s="1526"/>
    </row>
    <row r="20" spans="1:38">
      <c r="A20" s="62"/>
      <c r="B20" s="62"/>
      <c r="C20" s="1021"/>
      <c r="D20" s="194"/>
      <c r="E20" s="1557"/>
      <c r="F20" s="105"/>
      <c r="G20" s="1557"/>
      <c r="H20" s="105"/>
      <c r="I20" s="1557"/>
      <c r="J20" s="105"/>
      <c r="K20" s="1557"/>
      <c r="L20" s="105"/>
      <c r="M20" s="1557"/>
      <c r="N20" s="105"/>
      <c r="O20" s="1557"/>
      <c r="P20" s="105"/>
      <c r="Q20" s="1557"/>
      <c r="R20" s="105"/>
      <c r="S20" s="1557"/>
      <c r="T20" s="105"/>
      <c r="U20" s="1557"/>
      <c r="V20" s="105"/>
      <c r="W20" s="1558"/>
      <c r="X20" s="105"/>
      <c r="Y20" s="1557"/>
      <c r="Z20" s="194"/>
      <c r="AA20" s="861"/>
      <c r="AB20" s="1021"/>
      <c r="AC20" s="194"/>
      <c r="AD20" s="861"/>
      <c r="AE20" s="1021"/>
      <c r="AF20" s="289"/>
      <c r="AG20" s="402"/>
      <c r="AH20" s="264"/>
      <c r="AJ20" s="1756"/>
      <c r="AK20" s="1526"/>
      <c r="AL20" s="1526"/>
    </row>
    <row r="21" spans="1:38" ht="15.75">
      <c r="A21" s="187" t="s">
        <v>427</v>
      </c>
      <c r="B21" s="62"/>
      <c r="C21" s="204">
        <f>ROUND(SUM(C17:C20),1)</f>
        <v>609.20000000000005</v>
      </c>
      <c r="D21" s="197"/>
      <c r="E21" s="204">
        <f>ROUND(SUM(E17:E20),1)</f>
        <v>608.29999999999995</v>
      </c>
      <c r="F21" s="204"/>
      <c r="G21" s="204">
        <f>ROUND(SUM(G17:G20),1)</f>
        <v>674.4</v>
      </c>
      <c r="H21" s="204"/>
      <c r="I21" s="204">
        <f>ROUND(SUM(I17:I20),1)</f>
        <v>0</v>
      </c>
      <c r="J21" s="204"/>
      <c r="K21" s="204">
        <f>ROUND(SUM(K17:K20),1)</f>
        <v>0</v>
      </c>
      <c r="L21" s="204"/>
      <c r="M21" s="204">
        <f>ROUND(SUM(M17:M20),1)</f>
        <v>0</v>
      </c>
      <c r="N21" s="204"/>
      <c r="O21" s="204">
        <f>ROUND(SUM(O17:O20),1)</f>
        <v>0</v>
      </c>
      <c r="P21" s="204"/>
      <c r="Q21" s="204">
        <f>ROUND(SUM(Q17:Q20),1)</f>
        <v>0</v>
      </c>
      <c r="R21" s="204"/>
      <c r="S21" s="204">
        <f>ROUND(SUM(S17:S20),1)</f>
        <v>0</v>
      </c>
      <c r="T21" s="204"/>
      <c r="U21" s="204">
        <f>ROUND(SUM(U17:U20),1)</f>
        <v>0</v>
      </c>
      <c r="V21" s="204"/>
      <c r="W21" s="204">
        <f>ROUND(SUM(W17:W20),1)</f>
        <v>0</v>
      </c>
      <c r="X21" s="204"/>
      <c r="Y21" s="204">
        <f>ROUND(SUM(Y17:Y20),1)</f>
        <v>0</v>
      </c>
      <c r="Z21" s="197"/>
      <c r="AA21" s="864"/>
      <c r="AB21" s="204">
        <f>ROUND(SUM(AB17:AB20),1)</f>
        <v>1891.9</v>
      </c>
      <c r="AC21" s="1757"/>
      <c r="AD21" s="197"/>
      <c r="AE21" s="204">
        <f>ROUND(SUM(AE17:AE20),1)</f>
        <v>1389.2</v>
      </c>
      <c r="AF21" s="275"/>
      <c r="AG21" s="402"/>
      <c r="AH21" s="357">
        <f>ROUND(SUM(AH17:AH19),1)</f>
        <v>502.7</v>
      </c>
      <c r="AI21" s="40"/>
      <c r="AJ21" s="1733">
        <f>ROUND(IF(AH21=0,0,AH21/ABS(AE21)),3)</f>
        <v>0.36199999999999999</v>
      </c>
      <c r="AK21" s="1526"/>
      <c r="AL21" s="1526"/>
    </row>
    <row r="22" spans="1:38">
      <c r="A22" s="62"/>
      <c r="B22" s="62"/>
      <c r="C22" s="1021"/>
      <c r="D22" s="194"/>
      <c r="E22" s="1557"/>
      <c r="F22" s="105"/>
      <c r="G22" s="1557"/>
      <c r="H22" s="105"/>
      <c r="I22" s="1557"/>
      <c r="J22" s="105"/>
      <c r="K22" s="1557"/>
      <c r="L22" s="105"/>
      <c r="M22" s="1557"/>
      <c r="N22" s="105"/>
      <c r="O22" s="1557"/>
      <c r="P22" s="105"/>
      <c r="Q22" s="1557"/>
      <c r="R22" s="105"/>
      <c r="S22" s="1557"/>
      <c r="T22" s="105"/>
      <c r="U22" s="1557"/>
      <c r="V22" s="105"/>
      <c r="W22" s="1557"/>
      <c r="X22" s="105"/>
      <c r="Y22" s="1557"/>
      <c r="Z22" s="194"/>
      <c r="AA22" s="861"/>
      <c r="AB22" s="1021"/>
      <c r="AC22" s="194"/>
      <c r="AD22" s="861"/>
      <c r="AE22" s="1021"/>
      <c r="AF22" s="289"/>
      <c r="AG22" s="402"/>
      <c r="AH22" s="264"/>
      <c r="AJ22" s="1756"/>
      <c r="AK22" s="1526"/>
      <c r="AL22" s="1526"/>
    </row>
    <row r="23" spans="1:38">
      <c r="A23" s="62"/>
      <c r="B23" s="62"/>
      <c r="C23" s="194"/>
      <c r="D23" s="194"/>
      <c r="E23" s="105"/>
      <c r="F23" s="105"/>
      <c r="G23" s="105"/>
      <c r="H23" s="105"/>
      <c r="I23" s="105"/>
      <c r="J23" s="105"/>
      <c r="K23" s="105"/>
      <c r="L23" s="105"/>
      <c r="M23" s="105"/>
      <c r="N23" s="105"/>
      <c r="O23" s="105"/>
      <c r="P23" s="105"/>
      <c r="Q23" s="105"/>
      <c r="R23" s="105"/>
      <c r="S23" s="105"/>
      <c r="T23" s="105"/>
      <c r="U23" s="105"/>
      <c r="V23" s="105"/>
      <c r="W23" s="105"/>
      <c r="X23" s="105"/>
      <c r="Y23" s="105"/>
      <c r="Z23" s="194"/>
      <c r="AA23" s="861"/>
      <c r="AB23" s="194"/>
      <c r="AC23" s="194"/>
      <c r="AD23" s="861"/>
      <c r="AE23" s="194"/>
      <c r="AF23" s="264"/>
      <c r="AG23" s="1728"/>
      <c r="AH23" s="264"/>
      <c r="AJ23" s="1561"/>
      <c r="AK23" s="1526"/>
      <c r="AL23" s="1526"/>
    </row>
    <row r="24" spans="1:38" ht="15.75">
      <c r="A24" s="187" t="s">
        <v>122</v>
      </c>
      <c r="B24" s="62"/>
      <c r="C24" s="194"/>
      <c r="D24" s="194"/>
      <c r="E24" s="105"/>
      <c r="F24" s="105"/>
      <c r="G24" s="105"/>
      <c r="H24" s="105"/>
      <c r="I24" s="105"/>
      <c r="J24" s="105"/>
      <c r="K24" s="105"/>
      <c r="L24" s="105"/>
      <c r="M24" s="105"/>
      <c r="N24" s="105"/>
      <c r="O24" s="105"/>
      <c r="P24" s="105"/>
      <c r="Q24" s="105"/>
      <c r="R24" s="105"/>
      <c r="S24" s="105"/>
      <c r="T24" s="105"/>
      <c r="U24" s="105"/>
      <c r="V24" s="105"/>
      <c r="W24" s="105"/>
      <c r="X24" s="105"/>
      <c r="Y24" s="105"/>
      <c r="Z24" s="194"/>
      <c r="AA24" s="861"/>
      <c r="AB24" s="194"/>
      <c r="AC24" s="194"/>
      <c r="AD24" s="861"/>
      <c r="AE24" s="194"/>
      <c r="AF24" s="264"/>
      <c r="AG24" s="1728"/>
      <c r="AH24" s="264"/>
      <c r="AI24" s="1559"/>
      <c r="AJ24" s="1561"/>
      <c r="AK24" s="1526"/>
      <c r="AL24" s="1526"/>
    </row>
    <row r="25" spans="1:38" ht="15.75">
      <c r="A25" s="62" t="s">
        <v>453</v>
      </c>
      <c r="B25" s="62"/>
      <c r="C25" s="194"/>
      <c r="D25" s="194"/>
      <c r="E25" s="194"/>
      <c r="F25" s="105"/>
      <c r="G25" s="105"/>
      <c r="H25" s="105"/>
      <c r="I25" s="105"/>
      <c r="J25" s="105"/>
      <c r="K25" s="105"/>
      <c r="L25" s="105"/>
      <c r="M25" s="105"/>
      <c r="N25" s="105"/>
      <c r="O25" s="105"/>
      <c r="P25" s="105"/>
      <c r="Q25" s="105"/>
      <c r="R25" s="105"/>
      <c r="S25" s="1560"/>
      <c r="T25" s="105"/>
      <c r="U25" s="105"/>
      <c r="V25" s="105"/>
      <c r="W25" s="105"/>
      <c r="X25" s="105"/>
      <c r="Y25" s="105"/>
      <c r="Z25" s="194"/>
      <c r="AA25" s="861"/>
      <c r="AB25" s="194"/>
      <c r="AC25" s="194"/>
      <c r="AD25" s="861"/>
      <c r="AE25" s="194"/>
      <c r="AF25" s="26"/>
      <c r="AG25" s="402"/>
      <c r="AH25" s="264"/>
      <c r="AJ25" s="1561"/>
      <c r="AK25" s="1526"/>
      <c r="AL25" s="1526"/>
    </row>
    <row r="26" spans="1:38">
      <c r="A26" s="62" t="s">
        <v>592</v>
      </c>
      <c r="B26" s="62"/>
      <c r="C26" s="194">
        <v>240.1</v>
      </c>
      <c r="D26" s="194"/>
      <c r="E26" s="194">
        <v>145.70000000000002</v>
      </c>
      <c r="F26" s="105"/>
      <c r="G26" s="194">
        <f>$AB26-E26-C26</f>
        <v>146.49999999999991</v>
      </c>
      <c r="H26" s="105"/>
      <c r="I26" s="194"/>
      <c r="J26" s="105"/>
      <c r="K26" s="194"/>
      <c r="L26" s="105"/>
      <c r="M26" s="194"/>
      <c r="N26" s="105"/>
      <c r="O26" s="194"/>
      <c r="P26" s="105"/>
      <c r="Q26" s="194"/>
      <c r="R26" s="105"/>
      <c r="S26" s="194"/>
      <c r="T26" s="105"/>
      <c r="U26" s="194"/>
      <c r="V26" s="105"/>
      <c r="W26" s="194"/>
      <c r="X26" s="105"/>
      <c r="Y26" s="194"/>
      <c r="Z26" s="194"/>
      <c r="AA26" s="861"/>
      <c r="AB26" s="531">
        <v>532.29999999999995</v>
      </c>
      <c r="AC26" s="264"/>
      <c r="AD26" s="524" t="s">
        <v>103</v>
      </c>
      <c r="AE26" s="531">
        <v>515.1</v>
      </c>
      <c r="AF26" s="264"/>
      <c r="AG26" s="1737"/>
      <c r="AH26" s="264">
        <f>ROUND(SUM(AB26-AE26),1)</f>
        <v>17.2</v>
      </c>
      <c r="AJ26" s="1585">
        <f>ROUND(IF(AH26=0,0,AH26/ABS(AE26)),3)</f>
        <v>3.3000000000000002E-2</v>
      </c>
      <c r="AK26" s="1526"/>
      <c r="AL26" s="1526"/>
    </row>
    <row r="27" spans="1:38">
      <c r="A27" s="62" t="s">
        <v>535</v>
      </c>
      <c r="B27" s="62"/>
      <c r="C27" s="194">
        <v>39.6</v>
      </c>
      <c r="D27" s="194"/>
      <c r="E27" s="194">
        <v>32.1</v>
      </c>
      <c r="F27" s="105"/>
      <c r="G27" s="194">
        <f t="shared" ref="G27:G29" si="1">$AB27-E27-C27</f>
        <v>57.499999999999993</v>
      </c>
      <c r="H27" s="105"/>
      <c r="I27" s="194"/>
      <c r="J27" s="105"/>
      <c r="K27" s="194"/>
      <c r="L27" s="105"/>
      <c r="M27" s="194"/>
      <c r="N27" s="105"/>
      <c r="O27" s="194"/>
      <c r="P27" s="105"/>
      <c r="Q27" s="194"/>
      <c r="R27" s="105"/>
      <c r="S27" s="194"/>
      <c r="T27" s="105"/>
      <c r="U27" s="194"/>
      <c r="V27" s="105"/>
      <c r="W27" s="194"/>
      <c r="X27" s="105"/>
      <c r="Y27" s="194"/>
      <c r="Z27" s="194"/>
      <c r="AA27" s="861"/>
      <c r="AB27" s="531">
        <v>129.19999999999999</v>
      </c>
      <c r="AC27" s="264"/>
      <c r="AD27" s="524" t="s">
        <v>103</v>
      </c>
      <c r="AE27" s="531">
        <v>128.1</v>
      </c>
      <c r="AF27" s="264"/>
      <c r="AG27" s="1737"/>
      <c r="AH27" s="264">
        <f>ROUND(SUM(AB27-AE27),1)</f>
        <v>1.1000000000000001</v>
      </c>
      <c r="AJ27" s="1585">
        <f t="shared" ref="AJ27:AJ28" si="2">ROUND(IF(AH27=0,0,AH27/ABS(AE27)),3)</f>
        <v>8.9999999999999993E-3</v>
      </c>
      <c r="AK27" s="1526"/>
      <c r="AL27" s="1526"/>
    </row>
    <row r="28" spans="1:38">
      <c r="A28" s="62" t="s">
        <v>456</v>
      </c>
      <c r="B28" s="62"/>
      <c r="C28" s="194">
        <v>71.699999999999989</v>
      </c>
      <c r="D28" s="194"/>
      <c r="E28" s="194">
        <v>75.100000000000023</v>
      </c>
      <c r="F28" s="105"/>
      <c r="G28" s="194">
        <f t="shared" si="1"/>
        <v>51.599999999999994</v>
      </c>
      <c r="H28" s="105"/>
      <c r="I28" s="194"/>
      <c r="J28" s="105"/>
      <c r="K28" s="194"/>
      <c r="L28" s="105"/>
      <c r="M28" s="194"/>
      <c r="N28" s="105"/>
      <c r="O28" s="194"/>
      <c r="P28" s="105"/>
      <c r="Q28" s="194"/>
      <c r="R28" s="105"/>
      <c r="S28" s="194"/>
      <c r="T28" s="105"/>
      <c r="U28" s="194"/>
      <c r="V28" s="105"/>
      <c r="W28" s="194"/>
      <c r="X28" s="105"/>
      <c r="Y28" s="194"/>
      <c r="Z28" s="194"/>
      <c r="AA28" s="861"/>
      <c r="AB28" s="531">
        <v>198.4</v>
      </c>
      <c r="AC28" s="264"/>
      <c r="AD28" s="524" t="s">
        <v>103</v>
      </c>
      <c r="AE28" s="531">
        <v>173.20000000000002</v>
      </c>
      <c r="AF28" s="275"/>
      <c r="AG28" s="1742"/>
      <c r="AH28" s="264">
        <f>ROUND(SUM(AB28-AE28),1)</f>
        <v>25.2</v>
      </c>
      <c r="AJ28" s="1585">
        <f t="shared" si="2"/>
        <v>0.14499999999999999</v>
      </c>
      <c r="AK28" s="1526"/>
      <c r="AL28" s="1526"/>
    </row>
    <row r="29" spans="1:38">
      <c r="A29" s="1017" t="s">
        <v>593</v>
      </c>
      <c r="B29" s="62"/>
      <c r="C29" s="194">
        <v>316.10000000000002</v>
      </c>
      <c r="D29" s="194"/>
      <c r="E29" s="194">
        <v>303.69999999999993</v>
      </c>
      <c r="F29" s="105"/>
      <c r="G29" s="194">
        <f t="shared" si="1"/>
        <v>358.20000000000005</v>
      </c>
      <c r="H29" s="105"/>
      <c r="I29" s="194"/>
      <c r="J29" s="105"/>
      <c r="K29" s="194"/>
      <c r="L29" s="105"/>
      <c r="M29" s="194"/>
      <c r="N29" s="105"/>
      <c r="O29" s="194"/>
      <c r="P29" s="105"/>
      <c r="Q29" s="194"/>
      <c r="R29" s="105"/>
      <c r="S29" s="194"/>
      <c r="T29" s="105"/>
      <c r="U29" s="194"/>
      <c r="V29" s="105"/>
      <c r="W29" s="194"/>
      <c r="X29" s="105"/>
      <c r="Y29" s="194"/>
      <c r="Z29" s="194"/>
      <c r="AA29" s="861"/>
      <c r="AB29" s="531">
        <v>978</v>
      </c>
      <c r="AC29" s="264"/>
      <c r="AD29" s="524" t="s">
        <v>103</v>
      </c>
      <c r="AE29" s="531">
        <v>6683.3</v>
      </c>
      <c r="AF29" s="275"/>
      <c r="AG29" s="1737"/>
      <c r="AH29" s="382">
        <f>ROUND(SUM(AB29-AE29),1)</f>
        <v>-5705.3</v>
      </c>
      <c r="AJ29" s="1813">
        <f>ROUND(IF(AH29=0,0,AH29/ABS(AE29)),3)</f>
        <v>-0.85399999999999998</v>
      </c>
      <c r="AK29" s="1526"/>
      <c r="AL29" s="1526"/>
    </row>
    <row r="30" spans="1:38" ht="15.75">
      <c r="A30" s="62"/>
      <c r="B30" s="62"/>
      <c r="C30" s="1021"/>
      <c r="D30" s="194"/>
      <c r="E30" s="1557"/>
      <c r="F30" s="105"/>
      <c r="G30" s="1557"/>
      <c r="H30" s="105"/>
      <c r="I30" s="1557"/>
      <c r="J30" s="105"/>
      <c r="K30" s="1557"/>
      <c r="L30" s="105"/>
      <c r="M30" s="1557"/>
      <c r="N30" s="105"/>
      <c r="O30" s="1557"/>
      <c r="P30" s="105"/>
      <c r="Q30" s="1557"/>
      <c r="R30" s="105"/>
      <c r="S30" s="1557"/>
      <c r="T30" s="105"/>
      <c r="U30" s="1557"/>
      <c r="V30" s="105"/>
      <c r="W30" s="1558"/>
      <c r="X30" s="105"/>
      <c r="Y30" s="1557"/>
      <c r="Z30" s="194"/>
      <c r="AA30" s="861"/>
      <c r="AB30" s="1021"/>
      <c r="AC30" s="194"/>
      <c r="AD30" s="861"/>
      <c r="AE30" s="1021"/>
      <c r="AF30" s="16"/>
      <c r="AG30" s="1742"/>
      <c r="AH30" s="264"/>
      <c r="AI30" s="268"/>
      <c r="AJ30" s="1561"/>
      <c r="AK30" s="1526"/>
      <c r="AL30" s="1526"/>
    </row>
    <row r="31" spans="1:38" ht="15.75">
      <c r="A31" s="187" t="s">
        <v>457</v>
      </c>
      <c r="B31" s="62"/>
      <c r="C31" s="204">
        <f>ROUND(SUM(C26:C30),1)</f>
        <v>667.5</v>
      </c>
      <c r="D31" s="197"/>
      <c r="E31" s="204">
        <f>ROUND(SUM(E26:E30),1)</f>
        <v>556.6</v>
      </c>
      <c r="F31" s="204"/>
      <c r="G31" s="204">
        <f>ROUND(SUM(G26:G30),1)</f>
        <v>613.79999999999995</v>
      </c>
      <c r="H31" s="204"/>
      <c r="I31" s="204">
        <f>ROUND(SUM(I26:I30),1)</f>
        <v>0</v>
      </c>
      <c r="J31" s="204"/>
      <c r="K31" s="754">
        <f>ROUND(SUM(K26:K30),1)</f>
        <v>0</v>
      </c>
      <c r="L31" s="204"/>
      <c r="M31" s="754">
        <f>ROUND(SUM(M26:M30),1)</f>
        <v>0</v>
      </c>
      <c r="N31" s="204"/>
      <c r="O31" s="204">
        <f>ROUND(SUM(O26:O30),1)</f>
        <v>0</v>
      </c>
      <c r="P31" s="204"/>
      <c r="Q31" s="204">
        <f>ROUND(SUM(Q26:Q30),1)</f>
        <v>0</v>
      </c>
      <c r="R31" s="204"/>
      <c r="S31" s="204">
        <f>ROUND(SUM(S26:S30),1)</f>
        <v>0</v>
      </c>
      <c r="T31" s="204"/>
      <c r="U31" s="204">
        <f>ROUND(SUM(U26:U30),1)</f>
        <v>0</v>
      </c>
      <c r="V31" s="204"/>
      <c r="W31" s="204">
        <f>ROUND(SUM(W26:W30),1)</f>
        <v>0</v>
      </c>
      <c r="X31" s="204"/>
      <c r="Y31" s="204">
        <f>ROUND(SUM(Y26:Y30),1)</f>
        <v>0</v>
      </c>
      <c r="Z31" s="197"/>
      <c r="AA31" s="864"/>
      <c r="AB31" s="204">
        <f>ROUND(SUM(AB26:AB30),1)</f>
        <v>1837.9</v>
      </c>
      <c r="AC31" s="1757"/>
      <c r="AD31" s="197"/>
      <c r="AE31" s="204">
        <f>ROUND(SUM(AE26:AE30),1)</f>
        <v>7499.7</v>
      </c>
      <c r="AF31" s="264"/>
      <c r="AG31" s="1728"/>
      <c r="AH31" s="357">
        <f>ROUND(SUM(AH26:AH29),1)</f>
        <v>-5661.8</v>
      </c>
      <c r="AI31" s="40"/>
      <c r="AJ31" s="611">
        <f>ROUND(IF(AH31=0,0,AH31/ABS(AE31)),3)</f>
        <v>-0.755</v>
      </c>
      <c r="AK31" s="1526"/>
      <c r="AL31" s="1526"/>
    </row>
    <row r="32" spans="1:38">
      <c r="A32" s="62"/>
      <c r="B32" s="62"/>
      <c r="C32" s="1021"/>
      <c r="D32" s="194"/>
      <c r="E32" s="1557"/>
      <c r="F32" s="105"/>
      <c r="G32" s="1557"/>
      <c r="H32" s="105"/>
      <c r="I32" s="1557"/>
      <c r="J32" s="105"/>
      <c r="K32" s="105"/>
      <c r="L32" s="105"/>
      <c r="M32" s="105"/>
      <c r="N32" s="105"/>
      <c r="O32" s="1557"/>
      <c r="P32" s="105"/>
      <c r="Q32" s="1557"/>
      <c r="R32" s="105"/>
      <c r="S32" s="1557"/>
      <c r="T32" s="105"/>
      <c r="U32" s="1557"/>
      <c r="V32" s="105"/>
      <c r="W32" s="1557"/>
      <c r="X32" s="105"/>
      <c r="Y32" s="1557"/>
      <c r="Z32" s="194"/>
      <c r="AA32" s="861"/>
      <c r="AB32" s="1021"/>
      <c r="AC32" s="1229"/>
      <c r="AD32" s="861"/>
      <c r="AE32" s="1021"/>
      <c r="AF32" s="264"/>
      <c r="AG32" s="1728"/>
      <c r="AH32" s="264"/>
      <c r="AJ32" s="1756"/>
      <c r="AK32" s="1526"/>
      <c r="AL32" s="1526"/>
    </row>
    <row r="33" spans="1:38" ht="15.75">
      <c r="A33" s="62"/>
      <c r="B33" s="62"/>
      <c r="C33" s="194"/>
      <c r="D33" s="194"/>
      <c r="E33" s="105"/>
      <c r="F33" s="105"/>
      <c r="G33" s="105"/>
      <c r="H33" s="105"/>
      <c r="I33" s="105"/>
      <c r="J33" s="105"/>
      <c r="K33" s="105"/>
      <c r="L33" s="105"/>
      <c r="M33" s="105"/>
      <c r="N33" s="105"/>
      <c r="O33" s="105"/>
      <c r="P33" s="105"/>
      <c r="Q33" s="105"/>
      <c r="R33" s="105"/>
      <c r="S33" s="105"/>
      <c r="T33" s="105"/>
      <c r="U33" s="105"/>
      <c r="V33" s="105"/>
      <c r="W33" s="105"/>
      <c r="X33" s="105"/>
      <c r="Y33" s="105"/>
      <c r="Z33" s="194"/>
      <c r="AA33" s="861"/>
      <c r="AB33" s="194"/>
      <c r="AC33" s="1229"/>
      <c r="AD33" s="861"/>
      <c r="AE33" s="194"/>
      <c r="AF33" s="26"/>
      <c r="AG33" s="92"/>
      <c r="AH33" s="264"/>
      <c r="AI33" s="1559"/>
      <c r="AJ33" s="1561"/>
      <c r="AK33" s="1526"/>
      <c r="AL33" s="1526"/>
    </row>
    <row r="34" spans="1:38" ht="15.75">
      <c r="A34" s="187" t="s">
        <v>458</v>
      </c>
      <c r="B34" s="62"/>
      <c r="C34" s="194"/>
      <c r="D34" s="194"/>
      <c r="E34" s="105"/>
      <c r="F34" s="105"/>
      <c r="G34" s="105"/>
      <c r="H34" s="105"/>
      <c r="I34" s="105"/>
      <c r="J34" s="105"/>
      <c r="K34" s="105"/>
      <c r="L34" s="105"/>
      <c r="M34" s="105"/>
      <c r="N34" s="105"/>
      <c r="O34" s="105"/>
      <c r="P34" s="105"/>
      <c r="Q34" s="105"/>
      <c r="R34" s="105"/>
      <c r="S34" s="105"/>
      <c r="T34" s="105"/>
      <c r="U34" s="105"/>
      <c r="V34" s="105"/>
      <c r="W34" s="105"/>
      <c r="X34" s="105"/>
      <c r="Y34" s="105"/>
      <c r="Z34" s="194"/>
      <c r="AA34" s="861"/>
      <c r="AB34" s="194"/>
      <c r="AC34" s="1229"/>
      <c r="AD34" s="861"/>
      <c r="AE34" s="194"/>
      <c r="AF34" s="20"/>
      <c r="AG34" s="403"/>
      <c r="AH34" s="264"/>
      <c r="AI34" s="1559"/>
      <c r="AJ34" s="1561"/>
      <c r="AK34" s="1526"/>
      <c r="AL34" s="1526"/>
    </row>
    <row r="35" spans="1:38" ht="15.75">
      <c r="A35" s="187" t="s">
        <v>144</v>
      </c>
      <c r="B35" s="62"/>
      <c r="C35" s="204">
        <f>ROUND(C21-C31,1)</f>
        <v>-58.3</v>
      </c>
      <c r="D35" s="197"/>
      <c r="E35" s="204">
        <f>ROUND(E21-E31,1)</f>
        <v>51.7</v>
      </c>
      <c r="F35" s="204"/>
      <c r="G35" s="204">
        <f>ROUND(G21-G31,1)</f>
        <v>60.6</v>
      </c>
      <c r="H35" s="204"/>
      <c r="I35" s="204">
        <f>ROUND(I21-I31,1)</f>
        <v>0</v>
      </c>
      <c r="J35" s="204"/>
      <c r="K35" s="204">
        <f>ROUND(K21-K31,1)</f>
        <v>0</v>
      </c>
      <c r="L35" s="204"/>
      <c r="M35" s="204">
        <f>ROUND(M21-M31,1)</f>
        <v>0</v>
      </c>
      <c r="N35" s="204"/>
      <c r="O35" s="204">
        <f>ROUND(O21-O31,1)</f>
        <v>0</v>
      </c>
      <c r="P35" s="204"/>
      <c r="Q35" s="204">
        <f>ROUND(Q21-Q31,1)</f>
        <v>0</v>
      </c>
      <c r="R35" s="204"/>
      <c r="S35" s="204">
        <f>ROUND(S21-S31,1)</f>
        <v>0</v>
      </c>
      <c r="T35" s="204"/>
      <c r="U35" s="204">
        <f>ROUND(U21-U31,1)</f>
        <v>0</v>
      </c>
      <c r="V35" s="204"/>
      <c r="W35" s="204">
        <f>ROUND(W21-W31,1)</f>
        <v>0</v>
      </c>
      <c r="X35" s="204"/>
      <c r="Y35" s="204">
        <f>ROUND(Y21-Y31,1)</f>
        <v>0</v>
      </c>
      <c r="Z35" s="197"/>
      <c r="AA35" s="864"/>
      <c r="AB35" s="204">
        <f>ROUND(AB21-AB31,1)</f>
        <v>54</v>
      </c>
      <c r="AC35" s="1757"/>
      <c r="AD35" s="197"/>
      <c r="AE35" s="204">
        <f>ROUND(AE21-AE31,1)</f>
        <v>-6110.5</v>
      </c>
      <c r="AF35" s="268"/>
      <c r="AG35" s="406"/>
      <c r="AH35" s="357">
        <f>ROUND(SUM(AH21-AH31),1)</f>
        <v>6164.5</v>
      </c>
      <c r="AI35" s="40"/>
      <c r="AJ35" s="1733">
        <f>ROUND(IF(AE35=0,1,AH35/ABS(AE35)),3)</f>
        <v>1.0089999999999999</v>
      </c>
      <c r="AK35" s="1526"/>
      <c r="AL35" s="1526"/>
    </row>
    <row r="36" spans="1:38">
      <c r="A36" s="62"/>
      <c r="B36" s="62"/>
      <c r="C36" s="1021"/>
      <c r="D36" s="194"/>
      <c r="E36" s="1557"/>
      <c r="F36" s="105"/>
      <c r="G36" s="1557"/>
      <c r="H36" s="105"/>
      <c r="I36" s="1557"/>
      <c r="J36" s="105"/>
      <c r="K36" s="1557"/>
      <c r="L36" s="105"/>
      <c r="M36" s="1557"/>
      <c r="N36" s="105"/>
      <c r="O36" s="1557"/>
      <c r="P36" s="105"/>
      <c r="Q36" s="1557"/>
      <c r="R36" s="105"/>
      <c r="S36" s="1557"/>
      <c r="T36" s="105"/>
      <c r="U36" s="1557"/>
      <c r="V36" s="105"/>
      <c r="W36" s="1557"/>
      <c r="X36" s="105"/>
      <c r="Y36" s="1557"/>
      <c r="Z36" s="194"/>
      <c r="AA36" s="861"/>
      <c r="AB36" s="1021"/>
      <c r="AC36" s="1229"/>
      <c r="AD36" s="861"/>
      <c r="AE36" s="1021"/>
      <c r="AF36" s="268"/>
      <c r="AG36" s="406"/>
      <c r="AH36" s="264"/>
      <c r="AJ36" s="1756"/>
      <c r="AK36" s="1526"/>
      <c r="AL36" s="1526"/>
    </row>
    <row r="37" spans="1:38">
      <c r="A37" s="62"/>
      <c r="B37" s="62"/>
      <c r="C37" s="194"/>
      <c r="D37" s="194"/>
      <c r="E37" s="105"/>
      <c r="F37" s="105"/>
      <c r="G37" s="105"/>
      <c r="H37" s="105"/>
      <c r="I37" s="105"/>
      <c r="J37" s="105"/>
      <c r="K37" s="105"/>
      <c r="L37" s="105"/>
      <c r="M37" s="105"/>
      <c r="N37" s="105"/>
      <c r="O37" s="105"/>
      <c r="P37" s="105"/>
      <c r="Q37" s="105"/>
      <c r="R37" s="105"/>
      <c r="S37" s="105"/>
      <c r="T37" s="105"/>
      <c r="U37" s="105"/>
      <c r="V37" s="105"/>
      <c r="W37" s="105"/>
      <c r="X37" s="105"/>
      <c r="Y37" s="105"/>
      <c r="Z37" s="194"/>
      <c r="AA37" s="861"/>
      <c r="AB37" s="194"/>
      <c r="AC37" s="194"/>
      <c r="AD37" s="861"/>
      <c r="AE37" s="194"/>
      <c r="AG37" s="402"/>
      <c r="AH37" s="264"/>
      <c r="AJ37" s="1561"/>
      <c r="AK37" s="1526"/>
      <c r="AL37" s="1526"/>
    </row>
    <row r="38" spans="1:38" ht="15.75">
      <c r="A38" s="187" t="s">
        <v>145</v>
      </c>
      <c r="B38" s="62"/>
      <c r="C38" s="194"/>
      <c r="D38" s="194"/>
      <c r="E38" s="105"/>
      <c r="F38" s="105"/>
      <c r="G38" s="105"/>
      <c r="H38" s="105"/>
      <c r="I38" s="105"/>
      <c r="J38" s="105"/>
      <c r="K38" s="1274"/>
      <c r="L38" s="105"/>
      <c r="M38" s="1274"/>
      <c r="N38" s="105"/>
      <c r="O38" s="105"/>
      <c r="P38" s="105"/>
      <c r="Q38" s="105"/>
      <c r="R38" s="105"/>
      <c r="S38" s="105"/>
      <c r="T38" s="105"/>
      <c r="U38" s="105"/>
      <c r="V38" s="105"/>
      <c r="W38" s="105"/>
      <c r="X38" s="105"/>
      <c r="Y38" s="105"/>
      <c r="Z38" s="194"/>
      <c r="AA38" s="861"/>
      <c r="AB38" s="194"/>
      <c r="AC38" s="194"/>
      <c r="AD38" s="861"/>
      <c r="AE38" s="194"/>
      <c r="AF38" s="268"/>
      <c r="AG38" s="406"/>
      <c r="AH38" s="274"/>
      <c r="AI38" s="379"/>
      <c r="AJ38" s="1561"/>
      <c r="AK38" s="1526"/>
      <c r="AL38" s="1526"/>
    </row>
    <row r="39" spans="1:38">
      <c r="A39" s="62" t="s">
        <v>537</v>
      </c>
      <c r="B39" s="62"/>
      <c r="C39" s="194">
        <v>0</v>
      </c>
      <c r="D39" s="194"/>
      <c r="E39" s="194">
        <v>0</v>
      </c>
      <c r="F39" s="105"/>
      <c r="G39" s="194">
        <f>$AB39-E39-C39</f>
        <v>0</v>
      </c>
      <c r="H39" s="287"/>
      <c r="I39" s="194"/>
      <c r="J39" s="105"/>
      <c r="K39" s="194"/>
      <c r="L39" s="105"/>
      <c r="M39" s="194"/>
      <c r="N39" s="105"/>
      <c r="O39" s="194"/>
      <c r="P39" s="105"/>
      <c r="Q39" s="194"/>
      <c r="R39" s="105"/>
      <c r="S39" s="194"/>
      <c r="T39" s="105"/>
      <c r="U39" s="194"/>
      <c r="V39" s="105"/>
      <c r="W39" s="194"/>
      <c r="X39" s="105"/>
      <c r="Y39" s="194"/>
      <c r="Z39" s="194"/>
      <c r="AA39" s="861"/>
      <c r="AB39" s="531">
        <v>0</v>
      </c>
      <c r="AC39" s="264"/>
      <c r="AD39" s="524" t="s">
        <v>103</v>
      </c>
      <c r="AE39" s="531">
        <v>6000</v>
      </c>
      <c r="AF39" s="268"/>
      <c r="AG39" s="406"/>
      <c r="AH39" s="264">
        <f>ROUND(SUM(AB39-AE39),1)</f>
        <v>-6000</v>
      </c>
      <c r="AJ39" s="1562">
        <f>ROUND(IF(AE39=0,0,AH39/ABS(AE39)),3)</f>
        <v>-1</v>
      </c>
      <c r="AK39" s="1526"/>
      <c r="AL39" s="1526"/>
    </row>
    <row r="40" spans="1:38">
      <c r="A40" s="62" t="s">
        <v>538</v>
      </c>
      <c r="B40" s="62"/>
      <c r="C40" s="194">
        <v>0</v>
      </c>
      <c r="D40" s="194"/>
      <c r="E40" s="194">
        <v>0</v>
      </c>
      <c r="F40" s="105"/>
      <c r="G40" s="194">
        <f>$AB40-E40-C40</f>
        <v>0</v>
      </c>
      <c r="H40" s="287"/>
      <c r="I40" s="194"/>
      <c r="J40" s="105"/>
      <c r="K40" s="194"/>
      <c r="L40" s="105"/>
      <c r="M40" s="194"/>
      <c r="N40" s="105"/>
      <c r="O40" s="194"/>
      <c r="P40" s="105"/>
      <c r="Q40" s="194"/>
      <c r="R40" s="105"/>
      <c r="S40" s="194"/>
      <c r="T40" s="105"/>
      <c r="U40" s="194"/>
      <c r="V40" s="105"/>
      <c r="W40" s="194"/>
      <c r="X40" s="105"/>
      <c r="Y40" s="194"/>
      <c r="Z40" s="194"/>
      <c r="AA40" s="861"/>
      <c r="AB40" s="531">
        <v>0</v>
      </c>
      <c r="AC40" s="264"/>
      <c r="AD40" s="524" t="s">
        <v>103</v>
      </c>
      <c r="AE40" s="531">
        <v>0</v>
      </c>
      <c r="AF40" s="268"/>
      <c r="AG40" s="406"/>
      <c r="AH40" s="382">
        <f>-ROUND(SUM(AB40-AE40),1)</f>
        <v>0</v>
      </c>
      <c r="AJ40" s="1578">
        <f>ROUND(IF(AE40=0,0,AH40/ABS(AE40)),3)</f>
        <v>0</v>
      </c>
      <c r="AK40" s="1526"/>
      <c r="AL40" s="1526"/>
    </row>
    <row r="41" spans="1:38">
      <c r="A41" s="62"/>
      <c r="B41" s="62"/>
      <c r="C41" s="1021"/>
      <c r="D41" s="194"/>
      <c r="E41" s="1021"/>
      <c r="F41" s="105"/>
      <c r="G41" s="1021"/>
      <c r="H41" s="105"/>
      <c r="I41" s="1021"/>
      <c r="J41" s="105"/>
      <c r="K41" s="1021"/>
      <c r="L41" s="105"/>
      <c r="M41" s="1021"/>
      <c r="N41" s="105"/>
      <c r="O41" s="1021"/>
      <c r="P41" s="105"/>
      <c r="Q41" s="1021"/>
      <c r="R41" s="105"/>
      <c r="S41" s="1021"/>
      <c r="T41" s="105"/>
      <c r="U41" s="1557"/>
      <c r="V41" s="105"/>
      <c r="W41" s="1557"/>
      <c r="X41" s="105"/>
      <c r="Y41" s="1557"/>
      <c r="Z41" s="194"/>
      <c r="AA41" s="861"/>
      <c r="AB41" s="1021"/>
      <c r="AC41" s="194"/>
      <c r="AD41" s="861"/>
      <c r="AE41" s="1021"/>
      <c r="AF41" s="268"/>
      <c r="AG41" s="406"/>
      <c r="AJ41" s="1756"/>
      <c r="AK41" s="1526"/>
      <c r="AL41" s="1526"/>
    </row>
    <row r="42" spans="1:38" ht="15.75">
      <c r="A42" s="187" t="s">
        <v>587</v>
      </c>
      <c r="B42" s="62"/>
      <c r="C42" s="1564">
        <f>ROUND(SUM(C39:C41),1)</f>
        <v>0</v>
      </c>
      <c r="D42" s="197"/>
      <c r="E42" s="1564">
        <f>ROUND(SUM(E39:E41),1)</f>
        <v>0</v>
      </c>
      <c r="F42" s="204"/>
      <c r="G42" s="1564">
        <f>ROUND(SUM(G39:G41),1)</f>
        <v>0</v>
      </c>
      <c r="H42" s="204"/>
      <c r="I42" s="1564">
        <f>ROUND(SUM(I39:I41),1)</f>
        <v>0</v>
      </c>
      <c r="J42" s="204"/>
      <c r="K42" s="1564">
        <f>ROUND(SUM(K39:K41),1)</f>
        <v>0</v>
      </c>
      <c r="L42" s="204"/>
      <c r="M42" s="1564">
        <f>ROUND(SUM(M39:M41),1)</f>
        <v>0</v>
      </c>
      <c r="N42" s="204"/>
      <c r="O42" s="1564">
        <f>ROUND(SUM(O39:O41),1)</f>
        <v>0</v>
      </c>
      <c r="P42" s="204"/>
      <c r="Q42" s="1564">
        <f>ROUND(SUM(Q39:Q41),1)</f>
        <v>0</v>
      </c>
      <c r="R42" s="1564"/>
      <c r="S42" s="1564">
        <f>ROUND(SUM(S39:S41),1)</f>
        <v>0</v>
      </c>
      <c r="T42" s="204"/>
      <c r="U42" s="1564">
        <f>ROUND(SUM(U39:U41),1)</f>
        <v>0</v>
      </c>
      <c r="V42" s="204"/>
      <c r="W42" s="1564">
        <f>ROUND(SUM(W39:W41),1)</f>
        <v>0</v>
      </c>
      <c r="X42" s="204"/>
      <c r="Y42" s="1564">
        <f>ROUND(SUM(Y39:Y41),1)</f>
        <v>0</v>
      </c>
      <c r="Z42" s="197"/>
      <c r="AA42" s="864"/>
      <c r="AB42" s="357">
        <f>ROUND(SUM(AB39+AB40),1)</f>
        <v>0</v>
      </c>
      <c r="AC42" s="1757"/>
      <c r="AD42" s="197"/>
      <c r="AE42" s="357">
        <f>ROUND(SUM(AE39+AE40),1)</f>
        <v>6000</v>
      </c>
      <c r="AF42" s="291"/>
      <c r="AG42" s="402"/>
      <c r="AH42" s="357">
        <f>ROUND(SUM(AH39:AH40),1)</f>
        <v>-6000</v>
      </c>
      <c r="AI42" s="52"/>
      <c r="AJ42" s="1733">
        <f>ROUND(IF(AE42=0,0,AH42/ABS(AE42)),3)</f>
        <v>-1</v>
      </c>
      <c r="AK42" s="1526"/>
      <c r="AL42" s="1526"/>
    </row>
    <row r="43" spans="1:38">
      <c r="A43" s="62"/>
      <c r="B43" s="62"/>
      <c r="C43" s="1021"/>
      <c r="D43" s="194"/>
      <c r="E43" s="1557"/>
      <c r="F43" s="105"/>
      <c r="G43" s="1557"/>
      <c r="H43" s="105"/>
      <c r="I43" s="1557"/>
      <c r="J43" s="105"/>
      <c r="K43" s="1557"/>
      <c r="L43" s="105"/>
      <c r="M43" s="1557"/>
      <c r="N43" s="105"/>
      <c r="O43" s="1557"/>
      <c r="P43" s="105"/>
      <c r="Q43" s="1557"/>
      <c r="R43" s="105"/>
      <c r="S43" s="1557"/>
      <c r="T43" s="105"/>
      <c r="U43" s="1557"/>
      <c r="V43" s="105"/>
      <c r="W43" s="1557"/>
      <c r="X43" s="105"/>
      <c r="Y43" s="1557"/>
      <c r="Z43" s="194"/>
      <c r="AA43" s="861"/>
      <c r="AB43" s="1021"/>
      <c r="AC43" s="194"/>
      <c r="AD43" s="861"/>
      <c r="AE43" s="1021"/>
      <c r="AG43" s="402"/>
      <c r="AJ43" s="1756"/>
      <c r="AK43" s="1526"/>
      <c r="AL43" s="1526"/>
    </row>
    <row r="44" spans="1:38">
      <c r="A44" s="62"/>
      <c r="B44" s="62"/>
      <c r="C44" s="194"/>
      <c r="D44" s="194"/>
      <c r="E44" s="105"/>
      <c r="F44" s="105"/>
      <c r="G44" s="105"/>
      <c r="H44" s="105"/>
      <c r="I44" s="105"/>
      <c r="J44" s="105"/>
      <c r="K44" s="105"/>
      <c r="L44" s="105"/>
      <c r="M44" s="105"/>
      <c r="N44" s="105"/>
      <c r="O44" s="105"/>
      <c r="P44" s="105"/>
      <c r="Q44" s="105"/>
      <c r="R44" s="105"/>
      <c r="S44" s="105"/>
      <c r="T44" s="105"/>
      <c r="U44" s="105"/>
      <c r="V44" s="105"/>
      <c r="W44" s="105"/>
      <c r="X44" s="105"/>
      <c r="Y44" s="105"/>
      <c r="Z44" s="194"/>
      <c r="AA44" s="861"/>
      <c r="AB44" s="194"/>
      <c r="AC44" s="194"/>
      <c r="AD44" s="861"/>
      <c r="AE44" s="194"/>
      <c r="AG44" s="402"/>
      <c r="AJ44" s="1756"/>
      <c r="AK44" s="1526"/>
      <c r="AL44" s="1526"/>
    </row>
    <row r="45" spans="1:38" ht="15.75">
      <c r="A45" s="187" t="s">
        <v>469</v>
      </c>
      <c r="B45" s="62"/>
      <c r="C45" s="194"/>
      <c r="D45" s="194"/>
      <c r="E45" s="105"/>
      <c r="F45" s="105"/>
      <c r="G45" s="105"/>
      <c r="H45" s="105"/>
      <c r="I45" s="105"/>
      <c r="J45" s="105"/>
      <c r="K45" s="105"/>
      <c r="L45" s="105"/>
      <c r="M45" s="105"/>
      <c r="N45" s="105"/>
      <c r="O45" s="105"/>
      <c r="P45" s="105"/>
      <c r="Q45" s="105"/>
      <c r="R45" s="105"/>
      <c r="S45" s="105"/>
      <c r="T45" s="105"/>
      <c r="U45" s="105"/>
      <c r="V45" s="105"/>
      <c r="W45" s="105"/>
      <c r="X45" s="105"/>
      <c r="Y45" s="105"/>
      <c r="Z45" s="194"/>
      <c r="AA45" s="861"/>
      <c r="AB45" s="194"/>
      <c r="AC45" s="194"/>
      <c r="AD45" s="861"/>
      <c r="AE45" s="194"/>
      <c r="AG45" s="402"/>
      <c r="AJ45" s="1756"/>
      <c r="AK45" s="1526"/>
      <c r="AL45" s="1526"/>
    </row>
    <row r="46" spans="1:38" ht="15.75">
      <c r="A46" s="187" t="s">
        <v>594</v>
      </c>
      <c r="B46" s="62"/>
      <c r="C46" s="194"/>
      <c r="D46" s="194"/>
      <c r="E46" s="105"/>
      <c r="F46" s="105"/>
      <c r="G46" s="105"/>
      <c r="H46" s="105"/>
      <c r="I46" s="105"/>
      <c r="J46" s="105"/>
      <c r="K46" s="1274"/>
      <c r="L46" s="105"/>
      <c r="M46" s="105"/>
      <c r="N46" s="105"/>
      <c r="O46" s="105"/>
      <c r="P46" s="105"/>
      <c r="Q46" s="105"/>
      <c r="R46" s="105"/>
      <c r="S46" s="105"/>
      <c r="T46" s="105"/>
      <c r="U46" s="105"/>
      <c r="V46" s="105"/>
      <c r="W46" s="105"/>
      <c r="X46" s="105"/>
      <c r="Y46" s="105"/>
      <c r="Z46" s="194"/>
      <c r="AA46" s="861"/>
      <c r="AB46" s="194"/>
      <c r="AC46" s="194"/>
      <c r="AD46" s="861"/>
      <c r="AE46" s="194"/>
      <c r="AG46" s="402"/>
      <c r="AJ46" s="1756"/>
      <c r="AK46" s="1526"/>
      <c r="AL46" s="1526"/>
    </row>
    <row r="47" spans="1:38" ht="15.75">
      <c r="A47" s="187" t="s">
        <v>471</v>
      </c>
      <c r="B47" s="62"/>
      <c r="C47" s="204">
        <f>ROUND(C35+C42,1)</f>
        <v>-58.3</v>
      </c>
      <c r="D47" s="197"/>
      <c r="E47" s="204">
        <f>ROUND(E35+E42,1)</f>
        <v>51.7</v>
      </c>
      <c r="F47" s="204"/>
      <c r="G47" s="204">
        <f>ROUND(G35+G42,1)</f>
        <v>60.6</v>
      </c>
      <c r="H47" s="204"/>
      <c r="I47" s="204">
        <f>ROUND(I35+I42,1)</f>
        <v>0</v>
      </c>
      <c r="J47" s="204"/>
      <c r="K47" s="754">
        <f>ROUND(K35+K42,1)</f>
        <v>0</v>
      </c>
      <c r="L47" s="204"/>
      <c r="M47" s="204">
        <f>ROUND(M35+M42,1)</f>
        <v>0</v>
      </c>
      <c r="N47" s="204"/>
      <c r="O47" s="204">
        <f>ROUND(O35+O42,1)</f>
        <v>0</v>
      </c>
      <c r="P47" s="204"/>
      <c r="Q47" s="204">
        <f>ROUND(Q35+Q42,1)</f>
        <v>0</v>
      </c>
      <c r="R47" s="204"/>
      <c r="S47" s="204">
        <f>ROUND(S35+S42,1)</f>
        <v>0</v>
      </c>
      <c r="T47" s="204"/>
      <c r="U47" s="204">
        <f>ROUND(U35+U42,1)</f>
        <v>0</v>
      </c>
      <c r="V47" s="204"/>
      <c r="W47" s="204">
        <f>ROUND(W35+W42,1)</f>
        <v>0</v>
      </c>
      <c r="X47" s="204"/>
      <c r="Y47" s="204">
        <f>ROUND(Y35+Y42,1)</f>
        <v>0</v>
      </c>
      <c r="Z47" s="197"/>
      <c r="AA47" s="864"/>
      <c r="AB47" s="204">
        <f>ROUND(AB35+AB42,1)</f>
        <v>54</v>
      </c>
      <c r="AC47" s="1757"/>
      <c r="AD47" s="197"/>
      <c r="AE47" s="204">
        <f>ROUND(AE35+AE42,1)</f>
        <v>-110.5</v>
      </c>
      <c r="AG47" s="402"/>
      <c r="AH47" s="357">
        <f>ROUND(SUM(AH35+AH42),1)</f>
        <v>164.5</v>
      </c>
      <c r="AI47" s="3"/>
      <c r="AJ47" s="1733">
        <f>ROUND(IF(AE47=0,1,AH47/ABS(AE47)),3)</f>
        <v>1.4890000000000001</v>
      </c>
      <c r="AK47" s="1526"/>
      <c r="AL47" s="1526"/>
    </row>
    <row r="48" spans="1:38" ht="15.75">
      <c r="A48" s="62"/>
      <c r="B48" s="62"/>
      <c r="C48" s="1566"/>
      <c r="D48" s="187"/>
      <c r="E48" s="1567"/>
      <c r="F48" s="1568"/>
      <c r="G48" s="1567"/>
      <c r="H48" s="1568"/>
      <c r="I48" s="1567"/>
      <c r="J48" s="1568"/>
      <c r="K48" s="1569"/>
      <c r="L48" s="1568"/>
      <c r="M48" s="1567"/>
      <c r="N48" s="1568"/>
      <c r="O48" s="1567"/>
      <c r="P48" s="1568"/>
      <c r="Q48" s="1567"/>
      <c r="R48" s="1568"/>
      <c r="S48" s="1567"/>
      <c r="T48" s="1568"/>
      <c r="U48" s="1567"/>
      <c r="V48" s="1568"/>
      <c r="W48" s="1567"/>
      <c r="X48" s="1568"/>
      <c r="Y48" s="1567"/>
      <c r="Z48" s="187"/>
      <c r="AA48" s="1570"/>
      <c r="AB48" s="1566"/>
      <c r="AC48" s="187"/>
      <c r="AD48" s="1570"/>
      <c r="AE48" s="1566"/>
      <c r="AG48" s="402"/>
      <c r="AJ48" s="1756"/>
      <c r="AK48" s="1526"/>
      <c r="AL48" s="1526"/>
    </row>
    <row r="49" spans="1:38" ht="16.5" thickBot="1">
      <c r="A49" s="187" t="s">
        <v>433</v>
      </c>
      <c r="B49" s="62"/>
      <c r="C49" s="190">
        <f>ROUND(C14+C47,1)</f>
        <v>1221.5999999999999</v>
      </c>
      <c r="D49" s="190"/>
      <c r="E49" s="190">
        <f>ROUND(E14+E47,1)</f>
        <v>1273.3</v>
      </c>
      <c r="F49" s="1555"/>
      <c r="G49" s="190">
        <f>ROUND(G14+G47,1)</f>
        <v>1333.9</v>
      </c>
      <c r="H49" s="1555"/>
      <c r="I49" s="1571">
        <f>ROUND(I14+I47,1)</f>
        <v>0</v>
      </c>
      <c r="J49" s="1555"/>
      <c r="K49" s="190">
        <f>ROUND(K14+K47,1)</f>
        <v>0</v>
      </c>
      <c r="L49" s="1555"/>
      <c r="M49" s="190">
        <f>ROUND(M14+M47,1)</f>
        <v>0</v>
      </c>
      <c r="N49" s="1555"/>
      <c r="O49" s="190">
        <f>ROUND(O14+O47,1)</f>
        <v>0</v>
      </c>
      <c r="P49" s="1555"/>
      <c r="Q49" s="190">
        <f>ROUND(Q14+Q47,1)</f>
        <v>0</v>
      </c>
      <c r="R49" s="1555"/>
      <c r="S49" s="190">
        <f>ROUND(S14+S47,1)</f>
        <v>0</v>
      </c>
      <c r="T49" s="1555"/>
      <c r="U49" s="190">
        <f>ROUND(U14+U47,1)</f>
        <v>0</v>
      </c>
      <c r="V49" s="1555"/>
      <c r="W49" s="190">
        <f>ROUND(W14+W47,1)</f>
        <v>0</v>
      </c>
      <c r="X49" s="1555"/>
      <c r="Y49" s="190">
        <f>ROUND(Y14+Y47,1)</f>
        <v>0</v>
      </c>
      <c r="Z49" s="190"/>
      <c r="AA49" s="857"/>
      <c r="AB49" s="190">
        <f>ROUND(AB14+AB47,1)</f>
        <v>1333.9</v>
      </c>
      <c r="AC49" s="190"/>
      <c r="AD49" s="857"/>
      <c r="AE49" s="190">
        <f>ROUND(AE14+AE47,1)</f>
        <v>859.8</v>
      </c>
      <c r="AG49" s="402"/>
      <c r="AH49" s="70">
        <f>ROUND(SUM(AB49-AE49),1)</f>
        <v>474.1</v>
      </c>
      <c r="AI49" s="379"/>
      <c r="AJ49" s="1758">
        <f>ROUND(IF(AH49=0,0,AH49/ABS(AE49)),3)</f>
        <v>0.55100000000000005</v>
      </c>
      <c r="AK49" s="1526"/>
      <c r="AL49" s="1526"/>
    </row>
    <row r="50" spans="1:38" ht="15.75" thickTop="1">
      <c r="C50" s="1573"/>
      <c r="E50" s="1573"/>
      <c r="G50" s="1573"/>
      <c r="K50" s="1573"/>
      <c r="M50" s="1573"/>
      <c r="O50" s="1573"/>
      <c r="Q50" s="1573"/>
      <c r="S50" s="1573"/>
      <c r="U50" s="1573"/>
      <c r="W50" s="1573"/>
      <c r="Y50" s="1573"/>
      <c r="AB50" s="1573"/>
      <c r="AE50" s="1573"/>
    </row>
    <row r="51" spans="1:38">
      <c r="A51" s="1017"/>
    </row>
    <row r="52" spans="1:38">
      <c r="A52" s="1017"/>
    </row>
    <row r="53" spans="1:38">
      <c r="A53" s="1017"/>
    </row>
    <row r="54" spans="1:38">
      <c r="A54" s="1017"/>
    </row>
    <row r="55" spans="1:38">
      <c r="A55" s="1017"/>
    </row>
  </sheetData>
  <customSheetViews>
    <customSheetView guid="{83D69B98-1714-4D17-901F-87B47BE66947}" scale="90" showPageBreaks="1" showGridLines="0" fitToPage="1" printArea="1" topLeftCell="O16">
      <selection activeCell="AE15" sqref="AE15"/>
      <pageMargins left="0.25" right="0.25" top="0.5" bottom="0.25" header="0" footer="0.25"/>
      <printOptions horizontalCentered="1"/>
      <pageSetup scale="42" firstPageNumber="34" orientation="landscape" useFirstPageNumber="1" r:id="rId1"/>
      <headerFooter scaleWithDoc="0" alignWithMargins="0">
        <oddFooter>&amp;C&amp;8 &amp;P</oddFooter>
      </headerFooter>
    </customSheetView>
    <customSheetView guid="{F9AE1502-86F7-4AAA-AE66-F6A75A634C1B}" scale="90" showPageBreaks="1" showGridLines="0" fitToPage="1" printArea="1" topLeftCell="D24">
      <selection activeCell="AE15" sqref="AE15"/>
      <pageMargins left="0.25" right="0.25" top="0.5" bottom="0.25" header="0" footer="0.25"/>
      <printOptions horizontalCentered="1"/>
      <pageSetup scale="10" firstPageNumber="34" orientation="landscape" useFirstPageNumber="1" r:id="rId2"/>
      <headerFooter scaleWithDoc="0" alignWithMargins="0">
        <oddFooter>&amp;C&amp;8 &amp;P</oddFooter>
      </headerFooter>
    </customSheetView>
    <customSheetView guid="{C41E3923-0A88-49D0-AE43-0E74D386A056}" scale="90" showPageBreaks="1" showGridLines="0" fitToPage="1" printArea="1" topLeftCell="D24">
      <selection activeCell="AE15" sqref="AE15"/>
      <pageMargins left="0.25" right="0.25" top="0.5" bottom="0.25" header="0" footer="0.25"/>
      <printOptions horizontalCentered="1"/>
      <pageSetup scale="42" firstPageNumber="34" orientation="landscape" useFirstPageNumber="1" r:id="rId3"/>
      <headerFooter scaleWithDoc="0" alignWithMargins="0">
        <oddFooter>&amp;C&amp;8 &amp;P</oddFooter>
      </headerFooter>
    </customSheetView>
    <customSheetView guid="{1DF171D7-3BFC-49F6-B708-0F91FCFAB6E2}" scale="90" showPageBreaks="1" showGridLines="0" fitToPage="1" printArea="1" topLeftCell="D24">
      <selection activeCell="AE15" sqref="AE15"/>
      <pageMargins left="0.25" right="0.25" top="0.5" bottom="0.25" header="0" footer="0.25"/>
      <printOptions horizontalCentered="1"/>
      <pageSetup scale="42" firstPageNumber="34" orientation="landscape" useFirstPageNumber="1" r:id="rId4"/>
      <headerFooter scaleWithDoc="0" alignWithMargins="0">
        <oddFooter>&amp;C&amp;8 &amp;P</oddFooter>
      </headerFooter>
    </customSheetView>
    <customSheetView guid="{9F00D83C-7F4F-41B5-9976-8610D9EBC976}" scale="90" showPageBreaks="1" showGridLines="0" fitToPage="1" printArea="1" topLeftCell="A6">
      <selection activeCell="AB30" sqref="AB30"/>
      <pageMargins left="0.25" right="0.25" top="0.5" bottom="0.25" header="0" footer="0.25"/>
      <printOptions horizontalCentered="1"/>
      <pageSetup scale="43" firstPageNumber="34" orientation="landscape" useFirstPageNumber="1" r:id="rId5"/>
      <headerFooter scaleWithDoc="0" alignWithMargins="0">
        <oddFooter>&amp;C&amp;8 &amp;P</oddFooter>
      </headerFooter>
    </customSheetView>
    <customSheetView guid="{D1467C25-646C-4F1A-9353-0E890E575522}" scale="90" showPageBreaks="1" showGridLines="0" fitToPage="1" printArea="1" topLeftCell="A24">
      <selection activeCell="AE15" sqref="AE15"/>
      <pageMargins left="0.25" right="0.25" top="0.5" bottom="0.25" header="0" footer="0.25"/>
      <printOptions horizontalCentered="1"/>
      <pageSetup scale="17" firstPageNumber="34" orientation="landscape" useFirstPageNumber="1" r:id="rId6"/>
      <headerFooter scaleWithDoc="0" alignWithMargins="0">
        <oddFooter>&amp;C&amp;8 &amp;P</oddFooter>
      </headerFooter>
    </customSheetView>
    <customSheetView guid="{3A50DD26-AAF5-43D4-97DE-BAE3367A2F29}" scale="90" showPageBreaks="1" showGridLines="0" fitToPage="1" printArea="1">
      <selection activeCell="AE15" sqref="AE15"/>
      <pageMargins left="0.25" right="0.25" top="0.5" bottom="0.25" header="0" footer="0.25"/>
      <printOptions horizontalCentered="1"/>
      <pageSetup scale="42" firstPageNumber="34" orientation="landscape" useFirstPageNumber="1" r:id="rId7"/>
      <headerFooter scaleWithDoc="0" alignWithMargins="0">
        <oddFooter>&amp;C&amp;8 &amp;P</oddFooter>
      </headerFooter>
    </customSheetView>
    <customSheetView guid="{C3636880-B45B-4897-94F2-F91976416934}" scale="90" showPageBreaks="1" showGridLines="0" fitToPage="1" printArea="1" topLeftCell="D24">
      <selection activeCell="AE15" sqref="AE15"/>
      <pageMargins left="0.25" right="0.25" top="0.5" bottom="0.25" header="0" footer="0.25"/>
      <printOptions horizontalCentered="1"/>
      <pageSetup scale="43" firstPageNumber="34" orientation="landscape" useFirstPageNumber="1" r:id="rId8"/>
      <headerFooter scaleWithDoc="0" alignWithMargins="0">
        <oddFooter>&amp;C&amp;8 &amp;P</oddFooter>
      </headerFooter>
    </customSheetView>
  </customSheetViews>
  <mergeCells count="1">
    <mergeCell ref="AA10:AJ10"/>
  </mergeCells>
  <printOptions horizontalCentered="1"/>
  <pageMargins left="0.25" right="0.25" top="0.5" bottom="0.25" header="0" footer="0.25"/>
  <pageSetup scale="43" firstPageNumber="34" orientation="landscape" useFirstPageNumber="1" r:id="rId9"/>
  <headerFooter scaleWithDoc="0" alignWithMargins="0">
    <oddFooter>&amp;C&amp;8 &amp;P</oddFooter>
  </headerFooter>
  <customProperties>
    <customPr name="SheetOptions" r:id="rId10"/>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zoomScaleNormal="85" workbookViewId="0"/>
  </sheetViews>
  <sheetFormatPr defaultColWidth="8.88671875" defaultRowHeight="15"/>
  <cols>
    <col min="1" max="1" width="41.109375" style="10" customWidth="1"/>
    <col min="2" max="2" width="11.88671875" style="10" customWidth="1"/>
    <col min="3" max="3" width="1.88671875" style="10" customWidth="1"/>
    <col min="4" max="4" width="11.88671875" style="10" customWidth="1"/>
    <col min="5" max="5" width="1.88671875" style="10" customWidth="1"/>
    <col min="6" max="6" width="11.88671875" style="10" customWidth="1"/>
    <col min="7" max="7" width="1.88671875" style="10" customWidth="1"/>
    <col min="8" max="8" width="11.88671875" style="10" customWidth="1"/>
    <col min="9" max="9" width="1.88671875" style="10" customWidth="1"/>
    <col min="10" max="10" width="11.88671875" style="10" customWidth="1"/>
    <col min="11" max="11" width="1.88671875" style="10" customWidth="1"/>
    <col min="12" max="12" width="12.109375" style="10" customWidth="1"/>
    <col min="13" max="13" width="1.88671875" style="10" customWidth="1"/>
    <col min="14" max="14" width="11.88671875" style="10" customWidth="1"/>
    <col min="15" max="15" width="1.88671875" style="10" customWidth="1"/>
    <col min="16" max="16" width="11.88671875" style="10" customWidth="1"/>
    <col min="17" max="17" width="1.88671875" style="10" customWidth="1"/>
    <col min="18" max="18" width="11.88671875" style="10" customWidth="1"/>
    <col min="19" max="19" width="1.88671875" style="10" customWidth="1"/>
    <col min="20" max="20" width="11.88671875" style="10" customWidth="1"/>
    <col min="21" max="21" width="1.88671875" style="10" customWidth="1"/>
    <col min="22" max="22" width="11.88671875" style="10" customWidth="1"/>
    <col min="23" max="23" width="1.88671875" style="10" customWidth="1"/>
    <col min="24" max="24" width="11.88671875" style="10" customWidth="1"/>
    <col min="25" max="26" width="0.88671875" style="10" customWidth="1"/>
    <col min="27" max="27" width="11.88671875" style="10" customWidth="1"/>
    <col min="28" max="29" width="0.88671875" style="10" customWidth="1"/>
    <col min="30" max="30" width="11.88671875" style="10" customWidth="1"/>
    <col min="31" max="31" width="0.88671875" style="107" customWidth="1"/>
    <col min="32" max="32" width="0.88671875" style="291" customWidth="1"/>
    <col min="33" max="33" width="11.88671875" style="291" customWidth="1"/>
    <col min="34" max="34" width="1.88671875" style="291" customWidth="1"/>
    <col min="35" max="35" width="11.88671875" style="291" customWidth="1"/>
    <col min="36" max="36" width="9.109375" style="10" bestFit="1" customWidth="1"/>
    <col min="37" max="37" width="8.88671875" style="10" bestFit="1" customWidth="1"/>
    <col min="38" max="16384" width="8.88671875" style="10"/>
  </cols>
  <sheetData>
    <row r="1" spans="1:37">
      <c r="A1" s="265" t="s">
        <v>97</v>
      </c>
    </row>
    <row r="2" spans="1:37">
      <c r="A2" s="354"/>
    </row>
    <row r="3" spans="1:37" ht="15.75">
      <c r="A3" s="1574" t="s">
        <v>98</v>
      </c>
      <c r="B3" s="1575"/>
      <c r="AE3" s="291"/>
      <c r="AI3" s="1215" t="s">
        <v>595</v>
      </c>
    </row>
    <row r="4" spans="1:37" ht="15.75">
      <c r="A4" s="1574" t="s">
        <v>596</v>
      </c>
      <c r="B4" s="1575"/>
      <c r="H4" s="1575" t="s">
        <v>103</v>
      </c>
      <c r="X4" s="10" t="s">
        <v>103</v>
      </c>
      <c r="AE4" s="291"/>
    </row>
    <row r="5" spans="1:37" ht="15.75">
      <c r="A5" s="1574" t="s">
        <v>597</v>
      </c>
      <c r="B5" s="1575"/>
      <c r="AB5" s="1215"/>
      <c r="AC5" s="1215"/>
      <c r="AD5" s="1215"/>
      <c r="AE5" s="1215"/>
    </row>
    <row r="6" spans="1:37" ht="15.75">
      <c r="A6" s="1576" t="str">
        <f>'Cashflow Governmental'!A6</f>
        <v>FISCAL YEAR 2026-2027</v>
      </c>
      <c r="B6" s="1575"/>
      <c r="AE6" s="291"/>
    </row>
    <row r="7" spans="1:37" ht="15.75">
      <c r="A7" s="1574" t="s">
        <v>102</v>
      </c>
      <c r="B7" s="1575"/>
      <c r="AE7" s="291"/>
    </row>
    <row r="8" spans="1:37" ht="15.75">
      <c r="A8" s="1574"/>
      <c r="B8" s="1575"/>
      <c r="AE8" s="291"/>
    </row>
    <row r="9" spans="1:37" ht="15.75">
      <c r="B9" s="1625"/>
      <c r="AA9" s="2070"/>
      <c r="AB9" s="2070"/>
      <c r="AC9" s="2070"/>
      <c r="AD9" s="2070"/>
      <c r="AE9" s="2070"/>
      <c r="AF9" s="2070"/>
      <c r="AG9" s="2070"/>
      <c r="AH9" s="2070"/>
      <c r="AI9" s="2070"/>
    </row>
    <row r="10" spans="1:37" ht="15.75">
      <c r="A10" s="1577"/>
      <c r="B10" s="1117"/>
      <c r="C10" s="15"/>
      <c r="D10" s="15"/>
      <c r="E10" s="15"/>
      <c r="F10" s="15"/>
      <c r="G10" s="15"/>
      <c r="H10" s="1575"/>
      <c r="I10" s="1575"/>
      <c r="J10" s="1575"/>
      <c r="K10" s="15"/>
      <c r="L10" s="15"/>
      <c r="M10" s="15"/>
      <c r="N10" s="15"/>
      <c r="O10" s="15"/>
      <c r="P10" s="15"/>
      <c r="Q10" s="15"/>
      <c r="R10" s="15"/>
      <c r="S10" s="15"/>
      <c r="T10" s="15"/>
      <c r="U10" s="15"/>
      <c r="V10" s="15"/>
      <c r="W10" s="15"/>
      <c r="X10" s="15"/>
      <c r="Y10" s="15"/>
      <c r="Z10" s="1997" t="str">
        <f>'Cashflow Governmental'!$AB$12</f>
        <v>3 Months Ended June 30</v>
      </c>
      <c r="AA10" s="1997"/>
      <c r="AB10" s="1997"/>
      <c r="AC10" s="1997"/>
      <c r="AD10" s="1997"/>
      <c r="AE10" s="1997"/>
      <c r="AF10" s="1997"/>
      <c r="AG10" s="1997"/>
      <c r="AH10" s="1997"/>
      <c r="AI10" s="1997"/>
    </row>
    <row r="11" spans="1:37" ht="15.75">
      <c r="A11" s="364"/>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3"/>
      <c r="W11" s="3"/>
      <c r="X11" s="3"/>
      <c r="Y11" s="3"/>
      <c r="Z11" s="3"/>
      <c r="AA11" s="3"/>
      <c r="AB11" s="3"/>
      <c r="AC11" s="3"/>
      <c r="AD11" s="3"/>
      <c r="AE11" s="6"/>
      <c r="AF11" s="3"/>
      <c r="AG11" s="320" t="s">
        <v>110</v>
      </c>
      <c r="AH11" s="320"/>
      <c r="AI11" s="318" t="s">
        <v>111</v>
      </c>
    </row>
    <row r="12" spans="1:37" ht="15.75">
      <c r="A12" s="364"/>
      <c r="B12" s="52" t="s">
        <v>329</v>
      </c>
      <c r="C12" s="3"/>
      <c r="D12" s="52" t="s">
        <v>330</v>
      </c>
      <c r="E12" s="3"/>
      <c r="F12" s="52" t="s">
        <v>331</v>
      </c>
      <c r="G12" s="3"/>
      <c r="H12" s="52" t="s">
        <v>332</v>
      </c>
      <c r="I12" s="3"/>
      <c r="J12" s="52" t="s">
        <v>333</v>
      </c>
      <c r="K12" s="3"/>
      <c r="L12" s="314" t="s">
        <v>445</v>
      </c>
      <c r="M12" s="3"/>
      <c r="N12" s="314" t="s">
        <v>446</v>
      </c>
      <c r="O12" s="3"/>
      <c r="P12" s="52" t="s">
        <v>336</v>
      </c>
      <c r="Q12" s="3"/>
      <c r="R12" s="52" t="s">
        <v>337</v>
      </c>
      <c r="S12" s="3"/>
      <c r="T12" s="52" t="s">
        <v>338</v>
      </c>
      <c r="U12" s="3"/>
      <c r="V12" s="52" t="s">
        <v>339</v>
      </c>
      <c r="W12" s="3"/>
      <c r="X12" s="314" t="s">
        <v>447</v>
      </c>
      <c r="Y12" s="3"/>
      <c r="Z12" s="3"/>
      <c r="AA12" s="52" t="str">
        <f>'Cashflow Governmental'!AB14</f>
        <v>2026</v>
      </c>
      <c r="AB12" s="3" t="s">
        <v>103</v>
      </c>
      <c r="AC12" s="3"/>
      <c r="AD12" s="52" t="str">
        <f>'Cashflow Governmental'!AE14</f>
        <v>2025</v>
      </c>
      <c r="AE12" s="52"/>
      <c r="AF12" s="52"/>
      <c r="AG12" s="415" t="s">
        <v>112</v>
      </c>
      <c r="AH12" s="320"/>
      <c r="AI12" s="415" t="s">
        <v>113</v>
      </c>
    </row>
    <row r="13" spans="1:37" ht="8.85" customHeight="1">
      <c r="A13" s="364"/>
      <c r="B13" s="988"/>
      <c r="C13" s="364"/>
      <c r="D13" s="988"/>
      <c r="E13" s="364"/>
      <c r="F13" s="988"/>
      <c r="G13" s="364"/>
      <c r="H13" s="988"/>
      <c r="I13" s="364"/>
      <c r="J13" s="988"/>
      <c r="K13" s="364"/>
      <c r="L13" s="988"/>
      <c r="M13" s="364"/>
      <c r="N13" s="988"/>
      <c r="O13" s="364"/>
      <c r="P13" s="988"/>
      <c r="Q13" s="364"/>
      <c r="R13" s="988"/>
      <c r="S13" s="364"/>
      <c r="T13" s="988"/>
      <c r="U13" s="364"/>
      <c r="V13" s="988"/>
      <c r="W13" s="364"/>
      <c r="X13" s="988"/>
      <c r="Y13" s="364"/>
      <c r="Z13" s="364"/>
      <c r="AA13" s="988"/>
      <c r="AB13" s="364"/>
      <c r="AC13" s="364"/>
      <c r="AD13" s="988"/>
      <c r="AE13" s="1552"/>
      <c r="AF13" s="1553"/>
    </row>
    <row r="14" spans="1:37" ht="15.75">
      <c r="A14" s="1216" t="s">
        <v>341</v>
      </c>
      <c r="B14" s="82">
        <v>108.2</v>
      </c>
      <c r="C14" s="20"/>
      <c r="D14" s="20">
        <f>B46</f>
        <v>65.5</v>
      </c>
      <c r="E14" s="20"/>
      <c r="F14" s="20">
        <f>D46</f>
        <v>49.9</v>
      </c>
      <c r="G14" s="20"/>
      <c r="H14" s="20"/>
      <c r="I14" s="20"/>
      <c r="J14" s="20"/>
      <c r="K14" s="20"/>
      <c r="L14" s="20"/>
      <c r="M14" s="20"/>
      <c r="N14" s="20"/>
      <c r="O14" s="20"/>
      <c r="P14" s="20"/>
      <c r="Q14" s="20"/>
      <c r="R14" s="20"/>
      <c r="S14" s="20"/>
      <c r="T14" s="20"/>
      <c r="U14" s="20"/>
      <c r="V14" s="20"/>
      <c r="W14" s="20"/>
      <c r="X14" s="20"/>
      <c r="Y14" s="20"/>
      <c r="Z14" s="21"/>
      <c r="AA14" s="20">
        <f>B14</f>
        <v>108.2</v>
      </c>
      <c r="AB14" s="1241"/>
      <c r="AC14" s="20"/>
      <c r="AD14" s="1943">
        <v>108</v>
      </c>
      <c r="AE14" s="291"/>
      <c r="AF14" s="1723"/>
      <c r="AG14" s="20">
        <f>ROUND(SUM(AA14-AD14),1)</f>
        <v>0.2</v>
      </c>
      <c r="AI14" s="1556">
        <f>ROUND(IF(AG14=0,0,AG14/(AD14)),3)</f>
        <v>2E-3</v>
      </c>
      <c r="AJ14" s="1492"/>
      <c r="AK14" s="1492"/>
    </row>
    <row r="15" spans="1:37">
      <c r="A15" s="291"/>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854"/>
      <c r="AA15" s="291"/>
      <c r="AB15" s="1752"/>
      <c r="AC15" s="291"/>
      <c r="AD15" s="291"/>
      <c r="AE15" s="291"/>
      <c r="AF15" s="1723"/>
      <c r="AJ15" s="1492"/>
      <c r="AK15" s="1492"/>
    </row>
    <row r="16" spans="1:37" ht="15.75">
      <c r="A16" s="3" t="s">
        <v>114</v>
      </c>
      <c r="B16" s="291"/>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854"/>
      <c r="AA16" s="291"/>
      <c r="AB16" s="1752"/>
      <c r="AC16" s="291"/>
      <c r="AD16" s="291"/>
      <c r="AE16" s="288"/>
      <c r="AF16" s="1728"/>
      <c r="AG16" s="264"/>
      <c r="AI16" s="922"/>
      <c r="AJ16" s="1492"/>
      <c r="AK16" s="1492"/>
    </row>
    <row r="17" spans="1:37" ht="15.75">
      <c r="A17" s="291" t="s">
        <v>590</v>
      </c>
      <c r="B17" s="264">
        <v>37.6</v>
      </c>
      <c r="C17" s="264"/>
      <c r="D17" s="264">
        <v>35.999999999999993</v>
      </c>
      <c r="E17" s="264"/>
      <c r="F17" s="264">
        <f>$AA17-D17-B17</f>
        <v>64.5</v>
      </c>
      <c r="G17" s="264"/>
      <c r="H17" s="264"/>
      <c r="I17" s="264"/>
      <c r="J17" s="264"/>
      <c r="K17" s="264"/>
      <c r="L17" s="264"/>
      <c r="M17" s="264"/>
      <c r="N17" s="264"/>
      <c r="O17" s="264"/>
      <c r="P17" s="264"/>
      <c r="Q17" s="264"/>
      <c r="R17" s="264"/>
      <c r="S17" s="264"/>
      <c r="T17" s="264"/>
      <c r="U17" s="264"/>
      <c r="V17" s="264"/>
      <c r="W17" s="264"/>
      <c r="X17" s="264"/>
      <c r="Y17" s="264"/>
      <c r="Z17" s="523"/>
      <c r="AA17" s="985">
        <v>138.1</v>
      </c>
      <c r="AB17" s="264"/>
      <c r="AC17" s="524" t="s">
        <v>103</v>
      </c>
      <c r="AD17" s="985">
        <v>186.6</v>
      </c>
      <c r="AE17" s="26"/>
      <c r="AF17" s="1728"/>
      <c r="AG17" s="382">
        <f>ROUND(SUM(AA17-AD17),1)</f>
        <v>-48.5</v>
      </c>
      <c r="AI17" s="1578">
        <f>ROUND(IF(AG17=0,0,AG17/ABS(AD17)),3)</f>
        <v>-0.26</v>
      </c>
      <c r="AJ17" s="1492"/>
      <c r="AK17" s="1492"/>
    </row>
    <row r="18" spans="1:37">
      <c r="A18" s="291"/>
      <c r="B18" s="615"/>
      <c r="C18" s="264"/>
      <c r="D18" s="615"/>
      <c r="E18" s="264"/>
      <c r="F18" s="615"/>
      <c r="G18" s="264"/>
      <c r="H18" s="615"/>
      <c r="I18" s="264"/>
      <c r="J18" s="615"/>
      <c r="K18" s="264"/>
      <c r="L18" s="615"/>
      <c r="M18" s="264"/>
      <c r="N18" s="615"/>
      <c r="O18" s="264"/>
      <c r="P18" s="615"/>
      <c r="Q18" s="264"/>
      <c r="R18" s="615"/>
      <c r="S18" s="264"/>
      <c r="T18" s="615"/>
      <c r="U18" s="264"/>
      <c r="V18" s="615"/>
      <c r="W18" s="264"/>
      <c r="X18" s="615"/>
      <c r="Y18" s="264"/>
      <c r="Z18" s="523"/>
      <c r="AA18" s="264"/>
      <c r="AB18" s="1232"/>
      <c r="AC18" s="264"/>
      <c r="AD18" s="264"/>
      <c r="AE18" s="264"/>
      <c r="AF18" s="1728"/>
      <c r="AG18" s="264"/>
      <c r="AJ18" s="1492"/>
      <c r="AK18" s="1492"/>
    </row>
    <row r="19" spans="1:37" ht="15.75">
      <c r="A19" s="3" t="s">
        <v>427</v>
      </c>
      <c r="B19" s="13">
        <f>ROUND(SUM(B17),1)</f>
        <v>37.6</v>
      </c>
      <c r="C19" s="13"/>
      <c r="D19" s="13">
        <f>ROUND(SUM(D17),1)</f>
        <v>36</v>
      </c>
      <c r="E19" s="13"/>
      <c r="F19" s="13">
        <f>ROUND(SUM(F17),1)</f>
        <v>64.5</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138.1</v>
      </c>
      <c r="AB19" s="1234"/>
      <c r="AC19" s="13"/>
      <c r="AD19" s="13">
        <f>ROUND(SUM(AD17),1)</f>
        <v>186.6</v>
      </c>
      <c r="AE19" s="264"/>
      <c r="AF19" s="1728"/>
      <c r="AG19" s="357">
        <f>ROUND(SUM(AG17),1)</f>
        <v>-48.5</v>
      </c>
      <c r="AH19" s="40"/>
      <c r="AI19" s="521">
        <f>ROUND(IF(AG19=0,0,AG19/ABS(AD19)),3)</f>
        <v>-0.26</v>
      </c>
      <c r="AJ19" s="1492"/>
      <c r="AK19" s="1492"/>
    </row>
    <row r="20" spans="1:37">
      <c r="A20" s="291"/>
      <c r="B20" s="615"/>
      <c r="C20" s="264"/>
      <c r="D20" s="615"/>
      <c r="E20" s="264"/>
      <c r="F20" s="615"/>
      <c r="G20" s="264"/>
      <c r="H20" s="615"/>
      <c r="I20" s="264"/>
      <c r="J20" s="615"/>
      <c r="K20" s="264"/>
      <c r="L20" s="615"/>
      <c r="M20" s="264"/>
      <c r="N20" s="615"/>
      <c r="O20" s="264"/>
      <c r="P20" s="615"/>
      <c r="Q20" s="264"/>
      <c r="R20" s="615"/>
      <c r="S20" s="264"/>
      <c r="T20" s="615"/>
      <c r="U20" s="264"/>
      <c r="V20" s="615"/>
      <c r="W20" s="264"/>
      <c r="X20" s="615"/>
      <c r="Y20" s="264"/>
      <c r="Z20" s="523"/>
      <c r="AA20" s="615"/>
      <c r="AB20" s="1232"/>
      <c r="AC20" s="264"/>
      <c r="AD20" s="615"/>
      <c r="AE20" s="264"/>
      <c r="AF20" s="1728"/>
      <c r="AG20" s="264"/>
      <c r="AJ20" s="1492"/>
      <c r="AK20" s="1492"/>
    </row>
    <row r="21" spans="1:37">
      <c r="A21" s="291"/>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523"/>
      <c r="AA21" s="264"/>
      <c r="AB21" s="1232"/>
      <c r="AC21" s="264"/>
      <c r="AD21" s="264"/>
      <c r="AE21" s="289"/>
      <c r="AF21" s="402"/>
      <c r="AG21" s="264"/>
      <c r="AI21" s="922"/>
      <c r="AJ21" s="1492"/>
      <c r="AK21" s="1492"/>
    </row>
    <row r="22" spans="1:37" ht="15.75">
      <c r="A22" s="3" t="s">
        <v>122</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523"/>
      <c r="AA22" s="264"/>
      <c r="AB22" s="1232"/>
      <c r="AC22" s="264"/>
      <c r="AD22" s="264"/>
      <c r="AE22" s="275"/>
      <c r="AF22" s="402"/>
      <c r="AG22" s="264"/>
      <c r="AH22" s="1559"/>
      <c r="AI22" s="922"/>
      <c r="AJ22" s="1492"/>
      <c r="AK22" s="1492"/>
    </row>
    <row r="23" spans="1:37">
      <c r="A23" s="291" t="s">
        <v>453</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523"/>
      <c r="AA23" s="275"/>
      <c r="AB23" s="1232"/>
      <c r="AC23" s="264"/>
      <c r="AD23" s="275"/>
      <c r="AE23" s="289"/>
      <c r="AF23" s="402"/>
      <c r="AG23" s="264"/>
      <c r="AI23" s="922"/>
      <c r="AJ23" s="1492"/>
      <c r="AK23" s="1492"/>
    </row>
    <row r="24" spans="1:37" ht="15.75">
      <c r="A24" s="291" t="s">
        <v>592</v>
      </c>
      <c r="B24" s="264">
        <v>14.6</v>
      </c>
      <c r="C24" s="264"/>
      <c r="D24" s="264">
        <v>12.4</v>
      </c>
      <c r="E24" s="264"/>
      <c r="F24" s="264">
        <f>$AA24-D24-B24</f>
        <v>12.799999999999999</v>
      </c>
      <c r="G24" s="264"/>
      <c r="H24" s="264"/>
      <c r="I24" s="264"/>
      <c r="J24" s="264"/>
      <c r="K24" s="264"/>
      <c r="L24" s="264"/>
      <c r="M24" s="264"/>
      <c r="N24" s="264"/>
      <c r="O24" s="264"/>
      <c r="P24" s="264"/>
      <c r="Q24" s="264"/>
      <c r="R24" s="264"/>
      <c r="S24" s="264"/>
      <c r="T24" s="264"/>
      <c r="U24" s="264"/>
      <c r="V24" s="264"/>
      <c r="W24" s="264"/>
      <c r="X24" s="264"/>
      <c r="Y24" s="264"/>
      <c r="Z24" s="523"/>
      <c r="AA24" s="531">
        <v>39.799999999999997</v>
      </c>
      <c r="AB24" s="264"/>
      <c r="AC24" s="524" t="s">
        <v>103</v>
      </c>
      <c r="AD24" s="531">
        <v>37.1</v>
      </c>
      <c r="AE24" s="16"/>
      <c r="AF24" s="402"/>
      <c r="AG24" s="264">
        <f>ROUND(SUM(AA24-AD24),1)</f>
        <v>2.7</v>
      </c>
      <c r="AI24" s="520">
        <f>ROUND(IF(AG24=0,0,AG24/ABS(AD24)),3)</f>
        <v>7.2999999999999995E-2</v>
      </c>
      <c r="AJ24" s="1492"/>
      <c r="AK24" s="1492"/>
    </row>
    <row r="25" spans="1:37">
      <c r="A25" s="291" t="s">
        <v>535</v>
      </c>
      <c r="B25" s="264">
        <v>67.3</v>
      </c>
      <c r="C25" s="264"/>
      <c r="D25" s="264">
        <v>42.2</v>
      </c>
      <c r="E25" s="264"/>
      <c r="F25" s="264">
        <f t="shared" ref="F25:F26" si="0">$AA25-D25-B25</f>
        <v>58.099999999999994</v>
      </c>
      <c r="G25" s="264"/>
      <c r="H25" s="264"/>
      <c r="I25" s="264"/>
      <c r="J25" s="264"/>
      <c r="K25" s="264"/>
      <c r="L25" s="264"/>
      <c r="M25" s="264"/>
      <c r="N25" s="264"/>
      <c r="O25" s="264"/>
      <c r="P25" s="264"/>
      <c r="Q25" s="264"/>
      <c r="R25" s="264"/>
      <c r="S25" s="264"/>
      <c r="T25" s="264"/>
      <c r="U25" s="264"/>
      <c r="V25" s="264"/>
      <c r="W25" s="264"/>
      <c r="X25" s="264"/>
      <c r="Y25" s="264"/>
      <c r="Z25" s="523"/>
      <c r="AA25" s="531">
        <v>167.6</v>
      </c>
      <c r="AB25" s="264"/>
      <c r="AC25" s="524" t="s">
        <v>103</v>
      </c>
      <c r="AD25" s="531">
        <v>220.1</v>
      </c>
      <c r="AE25" s="264"/>
      <c r="AF25" s="1728"/>
      <c r="AG25" s="264">
        <f>ROUND(SUM(AA25-AD25),1)</f>
        <v>-52.5</v>
      </c>
      <c r="AI25" s="520">
        <f>ROUND(IF(AG25=0,0,AG25/ABS(AD25)),3)</f>
        <v>-0.23899999999999999</v>
      </c>
      <c r="AJ25" s="1492"/>
      <c r="AK25" s="1492"/>
    </row>
    <row r="26" spans="1:37">
      <c r="A26" s="291" t="s">
        <v>456</v>
      </c>
      <c r="B26" s="264">
        <v>0</v>
      </c>
      <c r="C26" s="264"/>
      <c r="D26" s="264">
        <v>0</v>
      </c>
      <c r="E26" s="264"/>
      <c r="F26" s="264">
        <f t="shared" si="0"/>
        <v>20.5</v>
      </c>
      <c r="G26" s="264"/>
      <c r="H26" s="264"/>
      <c r="I26" s="264"/>
      <c r="J26" s="264"/>
      <c r="K26" s="264"/>
      <c r="L26" s="264"/>
      <c r="M26" s="264"/>
      <c r="N26" s="264"/>
      <c r="O26" s="264"/>
      <c r="P26" s="264"/>
      <c r="Q26" s="264"/>
      <c r="R26" s="264"/>
      <c r="S26" s="264"/>
      <c r="T26" s="264"/>
      <c r="U26" s="264"/>
      <c r="V26" s="264"/>
      <c r="W26" s="264"/>
      <c r="X26" s="264"/>
      <c r="Y26" s="264"/>
      <c r="Z26" s="523"/>
      <c r="AA26" s="531">
        <v>20.5</v>
      </c>
      <c r="AB26" s="264"/>
      <c r="AC26" s="524" t="s">
        <v>103</v>
      </c>
      <c r="AD26" s="531">
        <v>18.5</v>
      </c>
      <c r="AE26" s="264"/>
      <c r="AF26" s="1728"/>
      <c r="AG26" s="382">
        <f>ROUND(SUM(AA26-AD26),1)</f>
        <v>2</v>
      </c>
      <c r="AI26" s="1563">
        <f>ROUND(IF(AG26=0,0,AG26/ABS(AD26)),3)</f>
        <v>0.108</v>
      </c>
      <c r="AJ26" s="1492"/>
      <c r="AK26" s="1492"/>
    </row>
    <row r="27" spans="1:37" ht="15.75">
      <c r="A27" s="291"/>
      <c r="B27" s="615"/>
      <c r="C27" s="264"/>
      <c r="D27" s="615"/>
      <c r="E27" s="264"/>
      <c r="F27" s="615"/>
      <c r="G27" s="264"/>
      <c r="H27" s="615"/>
      <c r="I27" s="264"/>
      <c r="J27" s="615"/>
      <c r="K27" s="264"/>
      <c r="L27" s="615"/>
      <c r="M27" s="264"/>
      <c r="N27" s="615"/>
      <c r="O27" s="264"/>
      <c r="P27" s="615"/>
      <c r="Q27" s="264"/>
      <c r="R27" s="615"/>
      <c r="S27" s="264"/>
      <c r="T27" s="615"/>
      <c r="U27" s="264"/>
      <c r="V27" s="615"/>
      <c r="W27" s="264"/>
      <c r="X27" s="615"/>
      <c r="Y27" s="264"/>
      <c r="Z27" s="523"/>
      <c r="AA27" s="615"/>
      <c r="AB27" s="1232"/>
      <c r="AC27" s="264"/>
      <c r="AD27" s="615"/>
      <c r="AE27" s="26"/>
      <c r="AF27" s="402"/>
      <c r="AG27" s="264"/>
      <c r="AH27" s="268"/>
      <c r="AI27" s="922"/>
      <c r="AJ27" s="1492"/>
      <c r="AK27" s="1492"/>
    </row>
    <row r="28" spans="1:37" ht="15.75">
      <c r="A28" s="3" t="s">
        <v>457</v>
      </c>
      <c r="B28" s="13">
        <f>ROUND(SUM(B24:B27),1)</f>
        <v>81.900000000000006</v>
      </c>
      <c r="C28" s="13"/>
      <c r="D28" s="13">
        <f>ROUND(SUM(D24:D27),1)</f>
        <v>54.6</v>
      </c>
      <c r="E28" s="13"/>
      <c r="F28" s="13">
        <f>ROUND(SUM(F24:F27),1)</f>
        <v>91.4</v>
      </c>
      <c r="G28" s="13"/>
      <c r="H28" s="13">
        <f>ROUND(SUM(H24:H27),1)</f>
        <v>0</v>
      </c>
      <c r="I28" s="13"/>
      <c r="J28" s="13">
        <f>ROUND(SUM(J24:J27),1)</f>
        <v>0</v>
      </c>
      <c r="K28" s="13"/>
      <c r="L28" s="13">
        <f>ROUND(SUM(L24:L27),1)</f>
        <v>0</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227.9</v>
      </c>
      <c r="AB28" s="1234"/>
      <c r="AC28" s="13"/>
      <c r="AD28" s="13">
        <f>ROUND(SUM(AD24:AD27),1)</f>
        <v>275.7</v>
      </c>
      <c r="AE28" s="264"/>
      <c r="AF28" s="1737"/>
      <c r="AG28" s="357">
        <f>ROUND(SUM(AG24:AG26),1)</f>
        <v>-47.8</v>
      </c>
      <c r="AH28" s="40"/>
      <c r="AI28" s="521">
        <f>ROUND(IF(AG28=0,0,AG28/ABS(AD28)),3)</f>
        <v>-0.17299999999999999</v>
      </c>
      <c r="AJ28" s="1492"/>
      <c r="AK28" s="1492"/>
    </row>
    <row r="29" spans="1:37">
      <c r="A29" s="291"/>
      <c r="B29" s="615"/>
      <c r="C29" s="264"/>
      <c r="D29" s="615"/>
      <c r="E29" s="264"/>
      <c r="F29" s="615"/>
      <c r="G29" s="264"/>
      <c r="H29" s="615"/>
      <c r="I29" s="264"/>
      <c r="J29" s="615"/>
      <c r="K29" s="264"/>
      <c r="L29" s="615"/>
      <c r="M29" s="264"/>
      <c r="N29" s="615"/>
      <c r="O29" s="264"/>
      <c r="P29" s="615"/>
      <c r="Q29" s="264"/>
      <c r="R29" s="615"/>
      <c r="S29" s="264"/>
      <c r="T29" s="615"/>
      <c r="U29" s="264"/>
      <c r="V29" s="615"/>
      <c r="W29" s="264"/>
      <c r="X29" s="615"/>
      <c r="Y29" s="264"/>
      <c r="Z29" s="523"/>
      <c r="AA29" s="615"/>
      <c r="AB29" s="1232"/>
      <c r="AC29" s="264"/>
      <c r="AD29" s="615"/>
      <c r="AE29" s="264"/>
      <c r="AF29" s="1737"/>
      <c r="AG29" s="264"/>
      <c r="AJ29" s="1492"/>
      <c r="AK29" s="1492"/>
    </row>
    <row r="30" spans="1:37">
      <c r="A30" s="291"/>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523"/>
      <c r="AA30" s="264"/>
      <c r="AB30" s="1232"/>
      <c r="AC30" s="264"/>
      <c r="AD30" s="264"/>
      <c r="AE30" s="275"/>
      <c r="AF30" s="1737"/>
      <c r="AG30" s="264"/>
      <c r="AH30" s="1559"/>
      <c r="AI30" s="922"/>
      <c r="AJ30" s="1492"/>
      <c r="AK30" s="1492"/>
    </row>
    <row r="31" spans="1:37" ht="15.75">
      <c r="A31" s="3" t="s">
        <v>458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523"/>
      <c r="AA31" s="264"/>
      <c r="AB31" s="1232"/>
      <c r="AC31" s="264"/>
      <c r="AD31" s="264"/>
      <c r="AE31" s="16"/>
      <c r="AF31" s="1742"/>
      <c r="AG31" s="264"/>
      <c r="AH31" s="1559"/>
      <c r="AI31" s="922"/>
      <c r="AJ31" s="1492"/>
      <c r="AK31" s="1492"/>
    </row>
    <row r="32" spans="1:37" ht="15.75">
      <c r="A32" s="3" t="s">
        <v>144</v>
      </c>
      <c r="B32" s="13">
        <f>ROUND(B19-B28,1)</f>
        <v>-44.3</v>
      </c>
      <c r="C32" s="13"/>
      <c r="D32" s="13">
        <f>ROUND(D19-D28,1)</f>
        <v>-18.600000000000001</v>
      </c>
      <c r="E32" s="13"/>
      <c r="F32" s="13">
        <f>ROUND(F19-F28,1)</f>
        <v>-26.9</v>
      </c>
      <c r="G32" s="13"/>
      <c r="H32" s="13">
        <f>ROUND(H19-H28,1)</f>
        <v>0</v>
      </c>
      <c r="I32" s="13"/>
      <c r="J32" s="13">
        <f>ROUND(J19-J28,1)</f>
        <v>0</v>
      </c>
      <c r="K32" s="13"/>
      <c r="L32" s="13">
        <f>ROUND(L19-L28,1)</f>
        <v>0</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-89.8</v>
      </c>
      <c r="AB32" s="1234"/>
      <c r="AC32" s="13"/>
      <c r="AD32" s="13">
        <f>ROUND(AD19-AD28,1)</f>
        <v>-89.1</v>
      </c>
      <c r="AE32" s="264"/>
      <c r="AF32" s="1728"/>
      <c r="AG32" s="357">
        <f>ROUND(SUM(AG19-AG28),1)</f>
        <v>-0.7</v>
      </c>
      <c r="AH32" s="40"/>
      <c r="AI32" s="676">
        <f>ROUND(IF(AG32=0,0,AG32/ABS(AD32)),3)</f>
        <v>-8.0000000000000002E-3</v>
      </c>
      <c r="AJ32" s="1492"/>
      <c r="AK32" s="1492"/>
    </row>
    <row r="33" spans="1:37">
      <c r="A33" s="291"/>
      <c r="B33" s="615"/>
      <c r="C33" s="264"/>
      <c r="D33" s="615"/>
      <c r="E33" s="264"/>
      <c r="F33" s="615"/>
      <c r="G33" s="264"/>
      <c r="H33" s="615"/>
      <c r="I33" s="264"/>
      <c r="J33" s="615"/>
      <c r="K33" s="264"/>
      <c r="L33" s="615"/>
      <c r="M33" s="264"/>
      <c r="N33" s="615"/>
      <c r="O33" s="264"/>
      <c r="P33" s="615"/>
      <c r="Q33" s="264"/>
      <c r="R33" s="615"/>
      <c r="S33" s="264"/>
      <c r="T33" s="615"/>
      <c r="U33" s="264"/>
      <c r="V33" s="615"/>
      <c r="W33" s="264"/>
      <c r="X33" s="615"/>
      <c r="Y33" s="264"/>
      <c r="Z33" s="523"/>
      <c r="AA33" s="615"/>
      <c r="AB33" s="1232"/>
      <c r="AC33" s="264"/>
      <c r="AD33" s="615"/>
      <c r="AE33" s="264"/>
      <c r="AF33" s="1728"/>
      <c r="AG33" s="264"/>
      <c r="AJ33" s="1492"/>
      <c r="AK33" s="1492"/>
    </row>
    <row r="34" spans="1:37" ht="15.75">
      <c r="A34" s="291"/>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523"/>
      <c r="AA34" s="264"/>
      <c r="AB34" s="1232"/>
      <c r="AC34" s="264"/>
      <c r="AD34" s="264"/>
      <c r="AE34" s="26"/>
      <c r="AF34" s="92"/>
      <c r="AG34" s="264"/>
      <c r="AI34" s="922"/>
      <c r="AJ34" s="1492"/>
      <c r="AK34" s="1492"/>
    </row>
    <row r="35" spans="1:37" ht="15.75">
      <c r="A35" s="3" t="s">
        <v>145</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523"/>
      <c r="AA35" s="264"/>
      <c r="AB35" s="1232"/>
      <c r="AC35" s="264"/>
      <c r="AD35" s="264"/>
      <c r="AE35" s="20"/>
      <c r="AF35" s="403"/>
      <c r="AG35" s="274"/>
      <c r="AH35" s="379"/>
      <c r="AI35" s="922"/>
      <c r="AJ35" s="1492"/>
      <c r="AK35" s="1492"/>
    </row>
    <row r="36" spans="1:37">
      <c r="A36" s="291" t="s">
        <v>537</v>
      </c>
      <c r="B36" s="264">
        <v>1.6</v>
      </c>
      <c r="C36" s="264"/>
      <c r="D36" s="264">
        <v>2.9999999999999996</v>
      </c>
      <c r="E36" s="264"/>
      <c r="F36" s="264">
        <f>$AA36-D36-B36</f>
        <v>37</v>
      </c>
      <c r="G36" s="264"/>
      <c r="H36" s="264"/>
      <c r="I36" s="264"/>
      <c r="J36" s="264"/>
      <c r="K36" s="264"/>
      <c r="L36" s="264"/>
      <c r="M36" s="264"/>
      <c r="N36" s="264"/>
      <c r="O36" s="264"/>
      <c r="P36" s="264"/>
      <c r="Q36" s="264"/>
      <c r="R36" s="264"/>
      <c r="S36" s="264"/>
      <c r="T36" s="264"/>
      <c r="U36" s="264"/>
      <c r="V36" s="264"/>
      <c r="W36" s="264"/>
      <c r="X36" s="264"/>
      <c r="Y36" s="264"/>
      <c r="Z36" s="523"/>
      <c r="AA36" s="531">
        <v>41.6</v>
      </c>
      <c r="AB36" s="264"/>
      <c r="AC36" s="524" t="s">
        <v>103</v>
      </c>
      <c r="AD36" s="531">
        <v>39.200000000000003</v>
      </c>
      <c r="AE36" s="268"/>
      <c r="AF36" s="406"/>
      <c r="AG36" s="264">
        <f>ROUND(SUM(AA36-AD36),1)</f>
        <v>2.4</v>
      </c>
      <c r="AH36" s="1559"/>
      <c r="AI36" s="520">
        <f>ROUND(IF(AG36=0,0,AG36/ABS(AD36)),3)</f>
        <v>6.0999999999999999E-2</v>
      </c>
      <c r="AJ36" s="1492"/>
      <c r="AK36" s="1492"/>
    </row>
    <row r="37" spans="1:37">
      <c r="A37" s="291" t="s">
        <v>538</v>
      </c>
      <c r="B37" s="264">
        <v>0</v>
      </c>
      <c r="C37" s="264"/>
      <c r="D37" s="264">
        <v>0</v>
      </c>
      <c r="E37" s="264"/>
      <c r="F37" s="264">
        <f>$AA37-D37-B37</f>
        <v>-0.2</v>
      </c>
      <c r="G37" s="264"/>
      <c r="H37" s="264"/>
      <c r="I37" s="264"/>
      <c r="J37" s="264"/>
      <c r="K37" s="264"/>
      <c r="L37" s="264"/>
      <c r="M37" s="264"/>
      <c r="N37" s="264"/>
      <c r="O37" s="264"/>
      <c r="P37" s="264"/>
      <c r="Q37" s="264"/>
      <c r="R37" s="264"/>
      <c r="S37" s="264"/>
      <c r="T37" s="264"/>
      <c r="U37" s="264"/>
      <c r="V37" s="264"/>
      <c r="W37" s="264"/>
      <c r="X37" s="264"/>
      <c r="Y37" s="264"/>
      <c r="Z37" s="523"/>
      <c r="AA37" s="531">
        <v>-0.2</v>
      </c>
      <c r="AB37" s="264"/>
      <c r="AC37" s="524" t="s">
        <v>103</v>
      </c>
      <c r="AD37" s="531">
        <v>-0.1</v>
      </c>
      <c r="AE37" s="268"/>
      <c r="AF37" s="406"/>
      <c r="AG37" s="1753">
        <f>-ROUND(SUM(AA37-AD37),1)</f>
        <v>0.1</v>
      </c>
      <c r="AH37" s="1559"/>
      <c r="AI37" s="1024">
        <f>ROUND(IF(AG37=0,0,AG37/ABS(AD37)),3)</f>
        <v>1</v>
      </c>
      <c r="AJ37" s="1492"/>
      <c r="AK37" s="1492"/>
    </row>
    <row r="38" spans="1:37">
      <c r="A38" s="291"/>
      <c r="B38" s="615"/>
      <c r="C38" s="264"/>
      <c r="D38" s="615"/>
      <c r="E38" s="264"/>
      <c r="F38" s="615"/>
      <c r="G38" s="264"/>
      <c r="H38" s="615"/>
      <c r="I38" s="264"/>
      <c r="J38" s="615"/>
      <c r="K38" s="264"/>
      <c r="L38" s="615"/>
      <c r="M38" s="264"/>
      <c r="N38" s="615"/>
      <c r="O38" s="264"/>
      <c r="P38" s="615"/>
      <c r="Q38" s="264"/>
      <c r="R38" s="615"/>
      <c r="S38" s="264"/>
      <c r="T38" s="615"/>
      <c r="U38" s="264"/>
      <c r="V38" s="615"/>
      <c r="W38" s="264"/>
      <c r="X38" s="615"/>
      <c r="Y38" s="264"/>
      <c r="Z38" s="523"/>
      <c r="AA38" s="1744"/>
      <c r="AB38" s="1232"/>
      <c r="AC38" s="264"/>
      <c r="AD38" s="1744"/>
      <c r="AE38" s="268"/>
      <c r="AF38" s="406"/>
      <c r="AJ38" s="1492"/>
      <c r="AK38" s="1492"/>
    </row>
    <row r="39" spans="1:37" ht="15.75">
      <c r="A39" s="3" t="s">
        <v>587</v>
      </c>
      <c r="B39" s="13">
        <f>ROUND(SUM(B36:B38),1)</f>
        <v>1.6</v>
      </c>
      <c r="C39" s="13"/>
      <c r="D39" s="13">
        <f>ROUND(SUM(D36:D38),1)</f>
        <v>3</v>
      </c>
      <c r="E39" s="13"/>
      <c r="F39" s="13">
        <f>ROUND(SUM(F36:F38),1)</f>
        <v>36.799999999999997</v>
      </c>
      <c r="G39" s="13"/>
      <c r="H39" s="13">
        <f>ROUND(SUM(H36:H38),1)</f>
        <v>0</v>
      </c>
      <c r="I39" s="13"/>
      <c r="J39" s="13">
        <f>ROUND(SUM(J36:J38),1)</f>
        <v>0</v>
      </c>
      <c r="K39" s="13"/>
      <c r="L39" s="13">
        <f>ROUND(SUM(L36:L38),1)</f>
        <v>0</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41.4</v>
      </c>
      <c r="AB39" s="1234"/>
      <c r="AC39" s="13"/>
      <c r="AD39" s="13">
        <f>ROUND(SUM(AD36:AD38),1)</f>
        <v>39.1</v>
      </c>
      <c r="AF39" s="402"/>
      <c r="AG39" s="357">
        <f>AA39-AD39</f>
        <v>2.2999999999999972</v>
      </c>
      <c r="AH39" s="52"/>
      <c r="AI39" s="521">
        <f>ROUND(IF(AG39=0,0,AG39/ABS(AD39)),3)</f>
        <v>5.8999999999999997E-2</v>
      </c>
      <c r="AJ39" s="1492"/>
      <c r="AK39" s="1492"/>
    </row>
    <row r="40" spans="1:37">
      <c r="A40" s="291"/>
      <c r="B40" s="615"/>
      <c r="C40" s="264"/>
      <c r="D40" s="615"/>
      <c r="E40" s="264"/>
      <c r="F40" s="615"/>
      <c r="G40" s="264"/>
      <c r="H40" s="615"/>
      <c r="I40" s="264"/>
      <c r="J40" s="615"/>
      <c r="K40" s="264"/>
      <c r="L40" s="615"/>
      <c r="M40" s="264"/>
      <c r="N40" s="615"/>
      <c r="O40" s="264"/>
      <c r="P40" s="615"/>
      <c r="Q40" s="264"/>
      <c r="R40" s="615"/>
      <c r="S40" s="264"/>
      <c r="T40" s="615"/>
      <c r="U40" s="264"/>
      <c r="V40" s="615"/>
      <c r="W40" s="264"/>
      <c r="X40" s="615"/>
      <c r="Y40" s="264"/>
      <c r="Z40" s="523"/>
      <c r="AA40" s="615"/>
      <c r="AB40" s="1232"/>
      <c r="AC40" s="264"/>
      <c r="AD40" s="615"/>
      <c r="AE40" s="268"/>
      <c r="AF40" s="406"/>
      <c r="AJ40" s="1492"/>
      <c r="AK40" s="1492"/>
    </row>
    <row r="41" spans="1:37">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3"/>
      <c r="AA41" s="264"/>
      <c r="AB41" s="1232"/>
      <c r="AC41" s="264"/>
      <c r="AD41" s="264"/>
      <c r="AE41" s="268"/>
      <c r="AF41" s="406"/>
      <c r="AJ41" s="1492"/>
      <c r="AK41" s="1492"/>
    </row>
    <row r="42" spans="1:37" ht="15.75">
      <c r="A42" s="3" t="s">
        <v>469</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523"/>
      <c r="AA42" s="264"/>
      <c r="AB42" s="1232"/>
      <c r="AC42" s="264"/>
      <c r="AD42" s="264"/>
      <c r="AE42" s="268"/>
      <c r="AF42" s="406"/>
      <c r="AJ42" s="1492"/>
      <c r="AK42" s="1492"/>
    </row>
    <row r="43" spans="1:37" ht="15.75">
      <c r="A43" s="3" t="s">
        <v>594</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523"/>
      <c r="AA43" s="264"/>
      <c r="AB43" s="1232"/>
      <c r="AC43" s="264"/>
      <c r="AD43" s="264"/>
      <c r="AE43" s="291"/>
      <c r="AF43" s="402"/>
      <c r="AJ43" s="1492"/>
      <c r="AK43" s="1492"/>
    </row>
    <row r="44" spans="1:37" s="15" customFormat="1" ht="15.75">
      <c r="A44" s="3" t="s">
        <v>471</v>
      </c>
      <c r="B44" s="13">
        <f>ROUND(SUM(B32,B39),1)</f>
        <v>-42.7</v>
      </c>
      <c r="C44" s="13"/>
      <c r="D44" s="13">
        <f>ROUND(SUM(D32,D39),1)</f>
        <v>-15.6</v>
      </c>
      <c r="E44" s="13"/>
      <c r="F44" s="13">
        <f>ROUND(SUM(F32,F39),1)</f>
        <v>9.9</v>
      </c>
      <c r="G44" s="13"/>
      <c r="H44" s="13">
        <f>ROUND(SUM(H32,H39),1)</f>
        <v>0</v>
      </c>
      <c r="I44" s="13"/>
      <c r="J44" s="13">
        <f>ROUND(SUM(J32,J39),1)</f>
        <v>0</v>
      </c>
      <c r="K44" s="13"/>
      <c r="L44" s="13">
        <f>ROUND(SUM(L32,L39),1)</f>
        <v>0</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-48.4</v>
      </c>
      <c r="AB44" s="1234"/>
      <c r="AC44" s="13"/>
      <c r="AD44" s="18">
        <f>ROUND(AD32+AD39,1)</f>
        <v>-50</v>
      </c>
      <c r="AE44" s="107"/>
      <c r="AF44" s="402"/>
      <c r="AG44" s="357">
        <f>ROUND(SUM(AG32+AG39),1)</f>
        <v>1.6</v>
      </c>
      <c r="AH44" s="3"/>
      <c r="AI44" s="676">
        <f>ROUND(IF(AG44=0,0,AG44/ABS(AD44)),3)</f>
        <v>3.2000000000000001E-2</v>
      </c>
      <c r="AJ44" s="1492"/>
      <c r="AK44" s="1492"/>
    </row>
    <row r="45" spans="1:37">
      <c r="A45" s="291"/>
      <c r="B45" s="987"/>
      <c r="C45" s="291"/>
      <c r="D45" s="987"/>
      <c r="E45" s="291"/>
      <c r="F45" s="987"/>
      <c r="G45" s="291"/>
      <c r="H45" s="987"/>
      <c r="I45" s="291"/>
      <c r="J45" s="987"/>
      <c r="K45" s="291"/>
      <c r="L45" s="987"/>
      <c r="M45" s="291"/>
      <c r="N45" s="987"/>
      <c r="O45" s="291"/>
      <c r="P45" s="987"/>
      <c r="Q45" s="291"/>
      <c r="R45" s="987"/>
      <c r="S45" s="291"/>
      <c r="T45" s="987"/>
      <c r="U45" s="291"/>
      <c r="V45" s="987"/>
      <c r="W45" s="291"/>
      <c r="X45" s="987"/>
      <c r="Y45" s="291"/>
      <c r="Z45" s="854"/>
      <c r="AA45" s="987"/>
      <c r="AB45" s="1752"/>
      <c r="AC45" s="291"/>
      <c r="AD45" s="987"/>
      <c r="AF45" s="402"/>
      <c r="AJ45" s="1492"/>
      <c r="AK45" s="1492"/>
    </row>
    <row r="46" spans="1:37" ht="16.5" thickBot="1">
      <c r="A46" s="1216" t="s">
        <v>433</v>
      </c>
      <c r="B46" s="20">
        <f>ROUND(SUM(B14,B44),1)</f>
        <v>65.5</v>
      </c>
      <c r="C46" s="20"/>
      <c r="D46" s="20">
        <f>ROUND(SUM(D14,D44),1)</f>
        <v>49.9</v>
      </c>
      <c r="E46" s="20"/>
      <c r="F46" s="20">
        <f>ROUND(SUM(F14,F44),1)</f>
        <v>59.8</v>
      </c>
      <c r="G46" s="20"/>
      <c r="H46" s="20">
        <f>ROUND(SUM(H14,H44),1)</f>
        <v>0</v>
      </c>
      <c r="I46" s="20"/>
      <c r="J46" s="20">
        <f>ROUND(SUM(J14,J44),1)</f>
        <v>0</v>
      </c>
      <c r="K46" s="20"/>
      <c r="L46" s="20">
        <f>ROUND(SUM(L14,L44),1)</f>
        <v>0</v>
      </c>
      <c r="M46" s="20"/>
      <c r="N46" s="20">
        <f>ROUND(SUM(N14,N44),1)</f>
        <v>0</v>
      </c>
      <c r="O46" s="20"/>
      <c r="P46" s="20">
        <f>ROUND(SUM(P14,P44),1)</f>
        <v>0</v>
      </c>
      <c r="Q46" s="20"/>
      <c r="R46" s="70">
        <f>ROUND(SUM(R14,R44),1)</f>
        <v>0</v>
      </c>
      <c r="S46" s="20"/>
      <c r="T46" s="20">
        <f>ROUND(SUM(T14,T44),1)</f>
        <v>0</v>
      </c>
      <c r="U46" s="20"/>
      <c r="V46" s="20">
        <f>ROUND(SUM(V14,V44),1)</f>
        <v>0</v>
      </c>
      <c r="W46" s="20"/>
      <c r="X46" s="20">
        <f>ROUND(SUM(X14,X44),1)</f>
        <v>0</v>
      </c>
      <c r="Y46" s="20"/>
      <c r="Z46" s="21"/>
      <c r="AA46" s="20">
        <f>ROUND(SUM(AA14,AA44),1)</f>
        <v>59.8</v>
      </c>
      <c r="AB46" s="1241"/>
      <c r="AC46" s="20"/>
      <c r="AD46" s="20">
        <f>ROUND(SUM(AD14,AD44),1)</f>
        <v>58</v>
      </c>
      <c r="AF46" s="402"/>
      <c r="AG46" s="70">
        <f>ROUND(SUM(AA46-AD46),1)</f>
        <v>1.8</v>
      </c>
      <c r="AH46" s="379"/>
      <c r="AI46" s="1572">
        <f>ROUND(IF(AG46=0,0,AG46/ABS(AD46)),3)</f>
        <v>3.1E-2</v>
      </c>
      <c r="AJ46" s="1492"/>
      <c r="AK46" s="1492"/>
    </row>
    <row r="47" spans="1:37" ht="15.75" thickTop="1">
      <c r="A47" s="291"/>
      <c r="B47" s="1754"/>
      <c r="C47" s="291"/>
      <c r="D47" s="1754"/>
      <c r="E47" s="291"/>
      <c r="F47" s="1754"/>
      <c r="G47" s="291"/>
      <c r="H47" s="1754"/>
      <c r="I47" s="291"/>
      <c r="J47" s="1754"/>
      <c r="K47" s="291"/>
      <c r="L47" s="1754"/>
      <c r="M47" s="291"/>
      <c r="N47" s="1754"/>
      <c r="O47" s="291"/>
      <c r="P47" s="1754"/>
      <c r="Q47" s="291"/>
      <c r="R47" s="291"/>
      <c r="S47" s="291"/>
      <c r="T47" s="1754"/>
      <c r="U47" s="291"/>
      <c r="V47" s="1754"/>
      <c r="W47" s="291"/>
      <c r="X47" s="1754"/>
      <c r="Y47" s="291"/>
      <c r="Z47" s="291"/>
      <c r="AA47" s="1754"/>
      <c r="AB47" s="291"/>
      <c r="AC47" s="291"/>
      <c r="AD47" s="1754"/>
    </row>
    <row r="49" spans="1:1">
      <c r="A49" s="1579"/>
    </row>
    <row r="50" spans="1:1">
      <c r="A50" s="364"/>
    </row>
  </sheetData>
  <customSheetViews>
    <customSheetView guid="{83D69B98-1714-4D17-901F-87B47BE66947}" scale="85" showPageBreaks="1" showGridLines="0" fitToPage="1" printArea="1" topLeftCell="K10">
      <selection activeCell="B37" sqref="B37"/>
      <pageMargins left="0.25" right="0.25" top="0.5" bottom="0.25" header="0" footer="0.25"/>
      <printOptions horizontalCentered="1"/>
      <pageSetup scale="25" firstPageNumber="35"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27">
      <selection activeCell="B37" sqref="B37"/>
      <pageMargins left="0.25" right="0.25" top="0.5" bottom="0.25" header="0" footer="0.25"/>
      <printOptions horizontalCentered="1"/>
      <pageSetup scale="10" firstPageNumber="35"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3">
      <selection activeCell="B37" sqref="B37"/>
      <pageMargins left="0.25" right="0.25" top="0.5" bottom="0.25" header="0" footer="0.25"/>
      <printOptions horizontalCentered="1"/>
      <pageSetup scale="43" firstPageNumber="35"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18">
      <selection activeCell="B37" sqref="B37"/>
      <pageMargins left="0.25" right="0.25" top="0.5" bottom="0.25" header="0" footer="0.25"/>
      <printOptions horizontalCentered="1"/>
      <pageSetup scale="43" firstPageNumber="35" orientation="landscape" useFirstPageNumber="1" r:id="rId6"/>
      <headerFooter scaleWithDoc="0" alignWithMargins="0">
        <oddFooter>&amp;C&amp;8&amp;P</oddFooter>
      </headerFooter>
    </customSheetView>
    <customSheetView guid="{3A50DD26-AAF5-43D4-97DE-BAE3367A2F29}" scale="90" showPageBreaks="1" showGridLines="0" fitToPage="1" printArea="1">
      <selection activeCell="B37" sqref="B37"/>
      <pageMargins left="0.25" right="0.25" top="0.5" bottom="0.25" header="0" footer="0.25"/>
      <printOptions horizontalCentered="1"/>
      <pageSetup scale="43" firstPageNumber="35"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27">
      <selection activeCell="B37" sqref="B37"/>
      <pageMargins left="0.25" right="0.25" top="0.5" bottom="0.25" header="0" footer="0.25"/>
      <printOptions horizontalCentered="1"/>
      <pageSetup scale="43" firstPageNumber="35" orientation="landscape" useFirstPageNumber="1" r:id="rId8"/>
      <headerFooter scaleWithDoc="0" alignWithMargins="0">
        <oddFooter>&amp;C&amp;8&amp;P</oddFooter>
      </headerFooter>
    </customSheetView>
  </customSheetViews>
  <mergeCells count="1">
    <mergeCell ref="AA9:AI9"/>
  </mergeCells>
  <printOptions horizontalCentered="1"/>
  <pageMargins left="0.25" right="0.25" top="0.5" bottom="0.25" header="0" footer="0.25"/>
  <pageSetup scale="43" firstPageNumber="35" orientation="landscape" useFirstPageNumber="1" r:id="rId9"/>
  <headerFooter scaleWithDoc="0" alignWithMargins="0">
    <oddFooter>&amp;C&amp;8&amp;P</oddFooter>
  </headerFooter>
  <customProperties>
    <customPr name="SheetOptions" r:id="rId10"/>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workbookViewId="0"/>
  </sheetViews>
  <sheetFormatPr defaultColWidth="8.88671875" defaultRowHeight="15"/>
  <cols>
    <col min="1" max="1" width="41.109375" style="291" customWidth="1"/>
    <col min="2" max="2" width="11.88671875" style="291" customWidth="1"/>
    <col min="3" max="3" width="1.88671875" style="291" customWidth="1"/>
    <col min="4" max="4" width="11.88671875" style="291" customWidth="1"/>
    <col min="5" max="5" width="1.88671875" style="291" customWidth="1"/>
    <col min="6" max="6" width="11.88671875" style="291" customWidth="1"/>
    <col min="7" max="7" width="1.88671875" style="291" customWidth="1"/>
    <col min="8" max="8" width="11.88671875" style="291" customWidth="1"/>
    <col min="9" max="9" width="1.88671875" style="291" customWidth="1"/>
    <col min="10" max="10" width="11.88671875" style="291" customWidth="1"/>
    <col min="11" max="11" width="1.88671875" style="291" customWidth="1"/>
    <col min="12" max="12" width="12.88671875" style="291" customWidth="1"/>
    <col min="13" max="13" width="1.88671875" style="291" customWidth="1"/>
    <col min="14" max="14" width="11.88671875" style="291" customWidth="1"/>
    <col min="15" max="15" width="1.88671875" style="291" customWidth="1"/>
    <col min="16" max="16" width="11.88671875" style="291" customWidth="1"/>
    <col min="17" max="17" width="1.88671875" style="291" customWidth="1"/>
    <col min="18" max="18" width="11.88671875" style="291" customWidth="1"/>
    <col min="19" max="19" width="1.88671875" style="291" customWidth="1"/>
    <col min="20" max="20" width="11.88671875" style="291" customWidth="1"/>
    <col min="21" max="21" width="1.88671875" style="291" customWidth="1"/>
    <col min="22" max="22" width="11.88671875" style="291" customWidth="1"/>
    <col min="23" max="23" width="1.88671875" style="291" customWidth="1"/>
    <col min="24" max="24" width="11.88671875" style="291" customWidth="1"/>
    <col min="25" max="26" width="1.44140625" style="291" customWidth="1"/>
    <col min="27" max="27" width="12.109375" style="291" customWidth="1"/>
    <col min="28" max="29" width="1.44140625" style="291" customWidth="1"/>
    <col min="30" max="30" width="12.109375" style="291" customWidth="1"/>
    <col min="31" max="32" width="1.44140625" style="291" customWidth="1"/>
    <col min="33" max="33" width="11.88671875" style="291" customWidth="1"/>
    <col min="34" max="34" width="1.88671875" style="291" customWidth="1"/>
    <col min="35" max="35" width="11.88671875" style="291" customWidth="1"/>
    <col min="36" max="37" width="9.109375" style="291" bestFit="1" customWidth="1"/>
    <col min="38" max="16384" width="8.88671875" style="291"/>
  </cols>
  <sheetData>
    <row r="1" spans="1:37">
      <c r="A1" s="265" t="s">
        <v>97</v>
      </c>
    </row>
    <row r="2" spans="1:37">
      <c r="A2" s="354"/>
    </row>
    <row r="3" spans="1:37" ht="15.75">
      <c r="A3" s="3" t="s">
        <v>98</v>
      </c>
      <c r="K3" s="3"/>
      <c r="L3" s="3"/>
      <c r="AI3" s="1215" t="s">
        <v>598</v>
      </c>
    </row>
    <row r="4" spans="1:37" ht="15.75">
      <c r="A4" s="1216" t="s">
        <v>219</v>
      </c>
      <c r="H4" s="3" t="s">
        <v>103</v>
      </c>
      <c r="K4" s="3"/>
      <c r="L4" s="3"/>
      <c r="X4" s="291" t="s">
        <v>103</v>
      </c>
    </row>
    <row r="5" spans="1:37" ht="15.75">
      <c r="A5" s="6" t="s">
        <v>328</v>
      </c>
      <c r="K5" s="3"/>
      <c r="L5" s="3"/>
      <c r="AB5" s="1215"/>
      <c r="AC5" s="1215"/>
      <c r="AE5" s="1215"/>
    </row>
    <row r="6" spans="1:37" ht="15.75">
      <c r="A6" s="6" t="str">
        <f>'Cashflow Governmental'!A6</f>
        <v>FISCAL YEAR 2026-2027</v>
      </c>
      <c r="K6" s="3"/>
      <c r="L6" s="3"/>
    </row>
    <row r="7" spans="1:37" ht="15.75">
      <c r="A7" s="3" t="s">
        <v>102</v>
      </c>
      <c r="K7" s="3"/>
    </row>
    <row r="8" spans="1:37" ht="15.75">
      <c r="A8" s="3"/>
      <c r="K8" s="3"/>
    </row>
    <row r="9" spans="1:37" ht="15.75">
      <c r="A9" s="1216"/>
    </row>
    <row r="10" spans="1:37" ht="15.75">
      <c r="B10" s="1492"/>
      <c r="H10" s="3"/>
      <c r="I10" s="3"/>
      <c r="J10" s="3"/>
      <c r="Z10" s="2065" t="str">
        <f>'Cashflow Governmental'!$AB$12</f>
        <v>3 Months Ended June 30</v>
      </c>
      <c r="AA10" s="2065"/>
      <c r="AB10" s="2065"/>
      <c r="AC10" s="2065"/>
      <c r="AD10" s="2065"/>
      <c r="AE10" s="2065"/>
      <c r="AF10" s="2065"/>
      <c r="AG10" s="2065"/>
      <c r="AH10" s="2065"/>
      <c r="AI10" s="2065"/>
    </row>
    <row r="11" spans="1:37" ht="15.75">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ht="15.75">
      <c r="B12" s="1217" t="s">
        <v>329</v>
      </c>
      <c r="C12" s="3"/>
      <c r="D12" s="1217" t="s">
        <v>330</v>
      </c>
      <c r="E12" s="3"/>
      <c r="F12" s="1217" t="s">
        <v>331</v>
      </c>
      <c r="G12" s="3"/>
      <c r="H12" s="1217" t="s">
        <v>332</v>
      </c>
      <c r="I12" s="3"/>
      <c r="J12" s="1220" t="s">
        <v>599</v>
      </c>
      <c r="K12" s="3"/>
      <c r="L12" s="1220" t="s">
        <v>445</v>
      </c>
      <c r="M12" s="3"/>
      <c r="N12" s="1220" t="s">
        <v>446</v>
      </c>
      <c r="O12" s="3"/>
      <c r="P12" s="1217" t="s">
        <v>336</v>
      </c>
      <c r="Q12" s="3"/>
      <c r="R12" s="1217" t="s">
        <v>337</v>
      </c>
      <c r="S12" s="3"/>
      <c r="T12" s="1220" t="s">
        <v>338</v>
      </c>
      <c r="U12" s="3"/>
      <c r="V12" s="1217" t="s">
        <v>339</v>
      </c>
      <c r="W12" s="3"/>
      <c r="X12" s="1220" t="s">
        <v>447</v>
      </c>
      <c r="Y12" s="3"/>
      <c r="Z12" s="3"/>
      <c r="AA12" s="1217" t="str">
        <f>'Cashflow Governmental'!AB14</f>
        <v>2026</v>
      </c>
      <c r="AB12" s="52"/>
      <c r="AC12" s="52"/>
      <c r="AD12" s="1217" t="str">
        <f>'Cashflow Governmental'!AE14</f>
        <v>2025</v>
      </c>
      <c r="AE12" s="52"/>
      <c r="AF12" s="52"/>
      <c r="AG12" s="415" t="s">
        <v>112</v>
      </c>
      <c r="AH12" s="320"/>
      <c r="AI12" s="415" t="s">
        <v>113</v>
      </c>
    </row>
    <row r="13" spans="1:37" ht="7.35"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ht="15.75">
      <c r="A14" s="3" t="s">
        <v>341</v>
      </c>
      <c r="B14" s="82">
        <v>2222.5</v>
      </c>
      <c r="C14" s="20"/>
      <c r="D14" s="93">
        <f>B46</f>
        <v>2229.3000000000002</v>
      </c>
      <c r="E14" s="93"/>
      <c r="F14" s="93">
        <f>D46</f>
        <v>2236.3000000000002</v>
      </c>
      <c r="G14" s="44"/>
      <c r="H14" s="93"/>
      <c r="I14" s="44"/>
      <c r="J14" s="93"/>
      <c r="K14" s="44"/>
      <c r="L14" s="93"/>
      <c r="M14" s="44"/>
      <c r="N14" s="93"/>
      <c r="O14" s="44"/>
      <c r="P14" s="93"/>
      <c r="Q14" s="93"/>
      <c r="R14" s="93"/>
      <c r="S14" s="93"/>
      <c r="T14" s="93"/>
      <c r="U14" s="93"/>
      <c r="V14" s="93"/>
      <c r="W14" s="93"/>
      <c r="X14" s="93"/>
      <c r="Y14" s="1718"/>
      <c r="Z14" s="1719"/>
      <c r="AA14" s="93">
        <f>B14</f>
        <v>2222.5</v>
      </c>
      <c r="AB14" s="1718"/>
      <c r="AC14" s="1717"/>
      <c r="AD14" s="1943">
        <v>1892.3</v>
      </c>
      <c r="AE14" s="1552"/>
      <c r="AF14" s="1720"/>
      <c r="AG14" s="20">
        <f>ROUND(SUM(AA14-AD14),1)</f>
        <v>330.2</v>
      </c>
      <c r="AI14" s="281">
        <f>ROUND(IF(AD14=0,1,AG14/ABS(AD14)),3)</f>
        <v>0.17399999999999999</v>
      </c>
      <c r="AJ14" s="1492"/>
      <c r="AK14" s="1492"/>
    </row>
    <row r="15" spans="1:37">
      <c r="F15" s="274"/>
      <c r="G15" s="274"/>
      <c r="H15" s="274"/>
      <c r="I15" s="424"/>
      <c r="J15" s="424"/>
      <c r="K15" s="274"/>
      <c r="L15" s="424"/>
      <c r="M15" s="424"/>
      <c r="N15" s="424"/>
      <c r="O15" s="424"/>
      <c r="P15" s="424"/>
      <c r="Q15" s="424"/>
      <c r="R15" s="424"/>
      <c r="S15" s="424"/>
      <c r="T15" s="424"/>
      <c r="U15" s="424"/>
      <c r="V15" s="424"/>
      <c r="W15" s="424"/>
      <c r="X15" s="424"/>
      <c r="Y15" s="1721"/>
      <c r="Z15" s="1722"/>
      <c r="AB15" s="1721"/>
      <c r="AC15" s="1554"/>
      <c r="AF15" s="1723"/>
      <c r="AJ15" s="1492"/>
      <c r="AK15" s="1492"/>
    </row>
    <row r="16" spans="1:37" ht="15.75">
      <c r="A16" s="3" t="s">
        <v>114</v>
      </c>
      <c r="F16" s="274"/>
      <c r="G16" s="274"/>
      <c r="H16" s="274"/>
      <c r="I16" s="424"/>
      <c r="J16" s="424"/>
      <c r="K16" s="274"/>
      <c r="L16" s="424"/>
      <c r="M16" s="424"/>
      <c r="N16" s="424"/>
      <c r="O16" s="424"/>
      <c r="P16" s="424"/>
      <c r="Q16" s="424"/>
      <c r="R16" s="424"/>
      <c r="S16" s="424"/>
      <c r="T16" s="424"/>
      <c r="U16" s="424"/>
      <c r="V16" s="424"/>
      <c r="W16" s="424"/>
      <c r="X16" s="424"/>
      <c r="Y16" s="1721"/>
      <c r="Z16" s="1722"/>
      <c r="AB16" s="1721"/>
      <c r="AC16" s="1554"/>
      <c r="AF16" s="1723"/>
      <c r="AJ16" s="1492"/>
      <c r="AK16" s="1492"/>
    </row>
    <row r="17" spans="1:37" s="10" customFormat="1" ht="15.75">
      <c r="A17" s="291" t="s">
        <v>590</v>
      </c>
      <c r="B17" s="264">
        <v>16.3</v>
      </c>
      <c r="C17" s="264"/>
      <c r="D17" s="264">
        <v>17.900000000000002</v>
      </c>
      <c r="E17" s="264"/>
      <c r="F17" s="264">
        <f>$AA17-D17-B17</f>
        <v>32.799999999999997</v>
      </c>
      <c r="G17" s="264"/>
      <c r="H17" s="264"/>
      <c r="I17" s="264"/>
      <c r="J17" s="264"/>
      <c r="K17" s="264"/>
      <c r="L17" s="264"/>
      <c r="M17" s="264"/>
      <c r="N17" s="264"/>
      <c r="O17" s="264"/>
      <c r="P17" s="264"/>
      <c r="Q17" s="264"/>
      <c r="R17" s="264"/>
      <c r="S17" s="264"/>
      <c r="T17" s="264"/>
      <c r="U17" s="264"/>
      <c r="V17" s="264"/>
      <c r="W17" s="264"/>
      <c r="X17" s="264"/>
      <c r="Y17" s="264"/>
      <c r="Z17" s="523"/>
      <c r="AA17" s="985">
        <v>67</v>
      </c>
      <c r="AB17" s="264"/>
      <c r="AC17" s="524" t="s">
        <v>103</v>
      </c>
      <c r="AD17" s="985">
        <v>64.2</v>
      </c>
      <c r="AE17" s="26"/>
      <c r="AF17" s="1728"/>
      <c r="AG17" s="382">
        <f>ROUND(SUM(AA17-AD17),1)</f>
        <v>2.8</v>
      </c>
      <c r="AH17" s="291"/>
      <c r="AI17" s="1578">
        <f>ROUND(IF(AG17=0,0,AG17/ABS(AD17)),3)</f>
        <v>4.3999999999999997E-2</v>
      </c>
      <c r="AJ17" s="1627"/>
      <c r="AK17" s="1628"/>
    </row>
    <row r="18" spans="1:37" s="10" customFormat="1">
      <c r="A18" s="291"/>
      <c r="B18" s="615"/>
      <c r="C18" s="264"/>
      <c r="D18" s="615"/>
      <c r="E18" s="264"/>
      <c r="F18" s="615"/>
      <c r="G18" s="264"/>
      <c r="H18" s="615"/>
      <c r="I18" s="264"/>
      <c r="J18" s="615"/>
      <c r="K18" s="264"/>
      <c r="L18" s="615"/>
      <c r="M18" s="264"/>
      <c r="N18" s="615"/>
      <c r="O18" s="264"/>
      <c r="P18" s="615"/>
      <c r="Q18" s="264"/>
      <c r="R18" s="615"/>
      <c r="S18" s="264"/>
      <c r="T18" s="615"/>
      <c r="U18" s="264"/>
      <c r="V18" s="615"/>
      <c r="W18" s="264"/>
      <c r="X18" s="615"/>
      <c r="Y18" s="264"/>
      <c r="Z18" s="523"/>
      <c r="AA18" s="264"/>
      <c r="AB18" s="1232"/>
      <c r="AC18" s="264"/>
      <c r="AD18" s="264"/>
      <c r="AE18" s="264"/>
      <c r="AF18" s="1728"/>
      <c r="AG18" s="264"/>
      <c r="AH18" s="291"/>
      <c r="AI18" s="291"/>
      <c r="AJ18" s="1627"/>
      <c r="AK18" s="1628"/>
    </row>
    <row r="19" spans="1:37" s="10" customFormat="1" ht="15.75">
      <c r="A19" s="3" t="s">
        <v>427</v>
      </c>
      <c r="B19" s="13">
        <f>ROUND(SUM(B17),1)</f>
        <v>16.3</v>
      </c>
      <c r="C19" s="13"/>
      <c r="D19" s="13">
        <f>ROUND(SUM(D17),1)</f>
        <v>17.899999999999999</v>
      </c>
      <c r="E19" s="13"/>
      <c r="F19" s="13">
        <f>ROUND(SUM(F17),1)</f>
        <v>32.799999999999997</v>
      </c>
      <c r="G19" s="13"/>
      <c r="H19" s="13">
        <f>ROUND(SUM(H17),1)</f>
        <v>0</v>
      </c>
      <c r="I19" s="13"/>
      <c r="J19" s="13">
        <f>ROUND(SUM(J17),1)</f>
        <v>0</v>
      </c>
      <c r="K19" s="13"/>
      <c r="L19" s="13">
        <f>ROUND(SUM(L17),1)</f>
        <v>0</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67</v>
      </c>
      <c r="AB19" s="1234"/>
      <c r="AC19" s="13"/>
      <c r="AD19" s="13">
        <f>ROUND(SUM(AD17),1)</f>
        <v>64.2</v>
      </c>
      <c r="AE19" s="264"/>
      <c r="AF19" s="1728"/>
      <c r="AG19" s="357">
        <f>ROUND(SUM(AG17),1)</f>
        <v>2.8</v>
      </c>
      <c r="AH19" s="40"/>
      <c r="AI19" s="1565">
        <f>ROUND(IF(AG19=0,0,AG19/ABS(AD19)),3)</f>
        <v>4.3999999999999997E-2</v>
      </c>
      <c r="AJ19" s="1627"/>
      <c r="AK19" s="1628"/>
    </row>
    <row r="20" spans="1:37" s="10" customFormat="1">
      <c r="A20" s="291"/>
      <c r="B20" s="615"/>
      <c r="C20" s="264"/>
      <c r="D20" s="615"/>
      <c r="E20" s="264"/>
      <c r="F20" s="615"/>
      <c r="G20" s="264"/>
      <c r="H20" s="615"/>
      <c r="I20" s="264"/>
      <c r="J20" s="615"/>
      <c r="K20" s="264"/>
      <c r="L20" s="615"/>
      <c r="M20" s="264"/>
      <c r="N20" s="615"/>
      <c r="O20" s="264"/>
      <c r="P20" s="615"/>
      <c r="Q20" s="264"/>
      <c r="R20" s="615"/>
      <c r="S20" s="264"/>
      <c r="T20" s="615"/>
      <c r="U20" s="264"/>
      <c r="V20" s="615"/>
      <c r="W20" s="264"/>
      <c r="X20" s="615"/>
      <c r="Y20" s="264"/>
      <c r="Z20" s="523"/>
      <c r="AA20" s="615"/>
      <c r="AB20" s="1232"/>
      <c r="AC20" s="264"/>
      <c r="AD20" s="615"/>
      <c r="AE20" s="264"/>
      <c r="AF20" s="1728"/>
      <c r="AG20" s="264"/>
      <c r="AH20" s="291"/>
      <c r="AI20" s="291"/>
      <c r="AJ20" s="1627"/>
      <c r="AK20" s="1628"/>
    </row>
    <row r="21" spans="1:37">
      <c r="B21" s="264"/>
      <c r="C21" s="264"/>
      <c r="D21" s="264"/>
      <c r="E21" s="264"/>
      <c r="F21" s="264"/>
      <c r="G21" s="264"/>
      <c r="H21" s="411"/>
      <c r="I21" s="411"/>
      <c r="J21" s="411"/>
      <c r="K21" s="264"/>
      <c r="L21" s="411"/>
      <c r="M21" s="411"/>
      <c r="N21" s="411"/>
      <c r="O21" s="411"/>
      <c r="P21" s="411"/>
      <c r="Q21" s="411"/>
      <c r="R21" s="411"/>
      <c r="S21" s="411"/>
      <c r="T21" s="411"/>
      <c r="U21" s="411"/>
      <c r="V21" s="411"/>
      <c r="W21" s="411"/>
      <c r="X21" s="411"/>
      <c r="Y21" s="1726"/>
      <c r="Z21" s="1727"/>
      <c r="AA21" s="264"/>
      <c r="AB21" s="1726"/>
      <c r="AC21" s="411"/>
      <c r="AD21" s="264"/>
      <c r="AE21" s="264"/>
      <c r="AF21" s="1728"/>
      <c r="AG21" s="264"/>
      <c r="AJ21" s="1492"/>
      <c r="AK21" s="1492"/>
    </row>
    <row r="22" spans="1:37" ht="15.75">
      <c r="A22" s="3" t="s">
        <v>122</v>
      </c>
      <c r="B22" s="264"/>
      <c r="C22" s="264"/>
      <c r="D22" s="264"/>
      <c r="E22" s="264"/>
      <c r="F22" s="264"/>
      <c r="G22" s="264"/>
      <c r="H22" s="411"/>
      <c r="I22" s="411"/>
      <c r="J22" s="411"/>
      <c r="K22" s="264"/>
      <c r="L22" s="411"/>
      <c r="M22" s="411"/>
      <c r="N22" s="411"/>
      <c r="O22" s="411"/>
      <c r="P22" s="411"/>
      <c r="Q22" s="411"/>
      <c r="R22" s="411"/>
      <c r="S22" s="411"/>
      <c r="T22" s="411"/>
      <c r="U22" s="411"/>
      <c r="V22" s="411"/>
      <c r="W22" s="411"/>
      <c r="X22" s="411"/>
      <c r="Y22" s="1726"/>
      <c r="Z22" s="1727"/>
      <c r="AA22" s="264"/>
      <c r="AB22" s="1726"/>
      <c r="AC22" s="411"/>
      <c r="AD22" s="264"/>
      <c r="AE22" s="264"/>
      <c r="AF22" s="1728"/>
      <c r="AG22" s="264"/>
      <c r="AJ22" s="1492"/>
      <c r="AK22" s="1492"/>
    </row>
    <row r="23" spans="1:37">
      <c r="A23" s="291" t="s">
        <v>453</v>
      </c>
      <c r="B23" s="275"/>
      <c r="C23" s="264"/>
      <c r="D23" s="264"/>
      <c r="E23" s="264"/>
      <c r="F23" s="264"/>
      <c r="G23" s="264"/>
      <c r="H23" s="411"/>
      <c r="I23" s="411"/>
      <c r="J23" s="411"/>
      <c r="K23" s="264"/>
      <c r="L23" s="411"/>
      <c r="M23" s="411"/>
      <c r="N23" s="411"/>
      <c r="O23" s="411"/>
      <c r="P23" s="411"/>
      <c r="Q23" s="411"/>
      <c r="R23" s="411"/>
      <c r="S23" s="411"/>
      <c r="T23" s="411"/>
      <c r="U23" s="411"/>
      <c r="V23" s="411"/>
      <c r="W23" s="411"/>
      <c r="X23" s="411"/>
      <c r="Y23" s="1726"/>
      <c r="Z23" s="1727"/>
      <c r="AA23" s="275"/>
      <c r="AB23" s="1735"/>
      <c r="AC23" s="1736"/>
      <c r="AD23" s="275"/>
      <c r="AE23" s="275"/>
      <c r="AF23" s="402"/>
      <c r="AG23" s="264"/>
      <c r="AJ23" s="1492"/>
      <c r="AK23" s="1492"/>
    </row>
    <row r="24" spans="1:37">
      <c r="A24" s="291" t="s">
        <v>592</v>
      </c>
      <c r="B24" s="287">
        <v>8</v>
      </c>
      <c r="C24" s="264"/>
      <c r="D24" s="287">
        <v>9.8999999999999986</v>
      </c>
      <c r="E24" s="264"/>
      <c r="F24" s="287">
        <f>$AA24-D24-B24</f>
        <v>8.1999999999999993</v>
      </c>
      <c r="G24" s="264"/>
      <c r="H24" s="287"/>
      <c r="I24" s="411"/>
      <c r="J24" s="264"/>
      <c r="K24" s="264"/>
      <c r="L24" s="264"/>
      <c r="M24" s="411"/>
      <c r="N24" s="264"/>
      <c r="O24" s="411"/>
      <c r="P24" s="288"/>
      <c r="Q24" s="288"/>
      <c r="R24" s="288"/>
      <c r="S24" s="288"/>
      <c r="T24" s="288"/>
      <c r="U24" s="288"/>
      <c r="V24" s="288"/>
      <c r="W24" s="288"/>
      <c r="X24" s="288"/>
      <c r="Y24" s="1726"/>
      <c r="Z24" s="1727"/>
      <c r="AA24" s="531">
        <v>26.099999999999998</v>
      </c>
      <c r="AB24" s="264"/>
      <c r="AC24" s="524" t="s">
        <v>103</v>
      </c>
      <c r="AD24" s="531">
        <v>24.9</v>
      </c>
      <c r="AE24" s="289"/>
      <c r="AF24" s="402"/>
      <c r="AG24" s="264">
        <f>ROUND(SUM(AA24-AD24),1)</f>
        <v>1.2</v>
      </c>
      <c r="AI24" s="1580">
        <f>ROUND(IF(AG24=0,0,AG24/ABS(AD24)),3)</f>
        <v>4.8000000000000001E-2</v>
      </c>
      <c r="AJ24" s="1492"/>
      <c r="AK24" s="1492"/>
    </row>
    <row r="25" spans="1:37">
      <c r="A25" s="412" t="s">
        <v>510</v>
      </c>
      <c r="B25" s="287">
        <v>1.5</v>
      </c>
      <c r="C25" s="264"/>
      <c r="D25" s="287">
        <v>1</v>
      </c>
      <c r="E25" s="264"/>
      <c r="F25" s="287">
        <f t="shared" ref="F25:F26" si="0">$AA25-D25-B25</f>
        <v>2.5999999999999996</v>
      </c>
      <c r="G25" s="264"/>
      <c r="H25" s="287"/>
      <c r="I25" s="411"/>
      <c r="J25" s="264"/>
      <c r="K25" s="264"/>
      <c r="L25" s="264"/>
      <c r="M25" s="411"/>
      <c r="N25" s="264"/>
      <c r="O25" s="411"/>
      <c r="P25" s="288"/>
      <c r="Q25" s="411"/>
      <c r="R25" s="288"/>
      <c r="S25" s="411"/>
      <c r="T25" s="288"/>
      <c r="U25" s="411"/>
      <c r="V25" s="288"/>
      <c r="W25" s="411"/>
      <c r="X25" s="288"/>
      <c r="Y25" s="1726"/>
      <c r="Z25" s="1727"/>
      <c r="AA25" s="531">
        <v>5.0999999999999996</v>
      </c>
      <c r="AB25" s="264"/>
      <c r="AC25" s="524" t="s">
        <v>103</v>
      </c>
      <c r="AD25" s="531">
        <v>4.5</v>
      </c>
      <c r="AE25" s="275"/>
      <c r="AF25" s="402"/>
      <c r="AG25" s="264">
        <f>ROUND(SUM(AA25-AD25),1)</f>
        <v>0.6</v>
      </c>
      <c r="AH25" s="1559"/>
      <c r="AI25" s="1580">
        <f>ROUND(IF(AG25=0,0,AG25/ABS(AD25)),3)</f>
        <v>0.13300000000000001</v>
      </c>
      <c r="AJ25" s="1492"/>
      <c r="AK25" s="1492"/>
    </row>
    <row r="26" spans="1:37" s="10" customFormat="1">
      <c r="A26" s="291" t="s">
        <v>456</v>
      </c>
      <c r="B26" s="287">
        <v>0</v>
      </c>
      <c r="C26" s="264"/>
      <c r="D26" s="287">
        <v>0</v>
      </c>
      <c r="E26" s="264"/>
      <c r="F26" s="287">
        <f t="shared" si="0"/>
        <v>17.600000000000001</v>
      </c>
      <c r="G26" s="264"/>
      <c r="H26" s="287"/>
      <c r="I26" s="264"/>
      <c r="J26" s="264"/>
      <c r="K26" s="264"/>
      <c r="L26" s="264"/>
      <c r="M26" s="264"/>
      <c r="N26" s="264"/>
      <c r="O26" s="264"/>
      <c r="P26" s="288"/>
      <c r="Q26" s="264"/>
      <c r="R26" s="288"/>
      <c r="S26" s="264"/>
      <c r="T26" s="288"/>
      <c r="U26" s="264"/>
      <c r="V26" s="288"/>
      <c r="W26" s="264"/>
      <c r="X26" s="288"/>
      <c r="Y26" s="264"/>
      <c r="Z26" s="523"/>
      <c r="AA26" s="531">
        <v>17.600000000000001</v>
      </c>
      <c r="AB26" s="264"/>
      <c r="AC26" s="524" t="s">
        <v>103</v>
      </c>
      <c r="AD26" s="531">
        <v>16.899999999999999</v>
      </c>
      <c r="AE26" s="264"/>
      <c r="AF26" s="1728"/>
      <c r="AG26" s="382">
        <f>ROUND(SUM(AA26-AD26),1)</f>
        <v>0.7</v>
      </c>
      <c r="AH26" s="291"/>
      <c r="AI26" s="1578">
        <f>ROUND(IF(AG26=0,0,AG26/ABS(AD26)),3)</f>
        <v>4.1000000000000002E-2</v>
      </c>
      <c r="AJ26" s="1492"/>
      <c r="AK26" s="1486"/>
    </row>
    <row r="27" spans="1:37" s="10" customFormat="1" ht="15.75">
      <c r="A27" s="291"/>
      <c r="B27" s="615"/>
      <c r="C27" s="264"/>
      <c r="D27" s="615"/>
      <c r="E27" s="264"/>
      <c r="F27" s="615"/>
      <c r="G27" s="264"/>
      <c r="H27" s="615"/>
      <c r="I27" s="264"/>
      <c r="J27" s="615"/>
      <c r="K27" s="264"/>
      <c r="L27" s="615"/>
      <c r="M27" s="264"/>
      <c r="N27" s="615"/>
      <c r="O27" s="264"/>
      <c r="P27" s="615"/>
      <c r="Q27" s="264"/>
      <c r="R27" s="615"/>
      <c r="S27" s="264"/>
      <c r="T27" s="615"/>
      <c r="U27" s="264"/>
      <c r="V27" s="615"/>
      <c r="W27" s="264"/>
      <c r="X27" s="615"/>
      <c r="Y27" s="264"/>
      <c r="Z27" s="523"/>
      <c r="AA27" s="615"/>
      <c r="AB27" s="1232"/>
      <c r="AC27" s="264"/>
      <c r="AD27" s="615"/>
      <c r="AE27" s="26"/>
      <c r="AF27" s="402"/>
      <c r="AG27" s="264"/>
      <c r="AH27" s="268"/>
      <c r="AI27" s="1562"/>
      <c r="AJ27" s="1492"/>
      <c r="AK27" s="1486"/>
    </row>
    <row r="28" spans="1:37" s="10" customFormat="1" ht="15.75">
      <c r="A28" s="3" t="s">
        <v>457</v>
      </c>
      <c r="B28" s="13">
        <f>ROUND(SUM(B24)+SUM(B25)+SUM(B26),1)</f>
        <v>9.5</v>
      </c>
      <c r="C28" s="13"/>
      <c r="D28" s="13">
        <f>ROUND(SUM(D24)+SUM(D25)+SUM(D26),1)</f>
        <v>10.9</v>
      </c>
      <c r="E28" s="13"/>
      <c r="F28" s="13">
        <f>ROUND(SUM(F24)+SUM(F25)+SUM(F26),1)</f>
        <v>28.4</v>
      </c>
      <c r="G28" s="13"/>
      <c r="H28" s="13">
        <f>ROUND(SUM(H24)+SUM(H25)+SUM(H26),1)</f>
        <v>0</v>
      </c>
      <c r="I28" s="13"/>
      <c r="J28" s="13">
        <f>ROUND(SUM(J24)+SUM(J25)+SUM(J26),1)</f>
        <v>0</v>
      </c>
      <c r="K28" s="13"/>
      <c r="L28" s="13">
        <f>ROUND(SUM(L24)+SUM(L25)+SUM(L26),1)</f>
        <v>0</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48.8</v>
      </c>
      <c r="AB28" s="1234"/>
      <c r="AC28" s="13"/>
      <c r="AD28" s="13">
        <f>ROUND(SUM(AD24)+SUM(AD25)+SUM(AD26),1)</f>
        <v>46.3</v>
      </c>
      <c r="AE28" s="264"/>
      <c r="AF28" s="1737"/>
      <c r="AG28" s="357">
        <f>ROUND(SUM(AG24:AG26),1)</f>
        <v>2.5</v>
      </c>
      <c r="AH28" s="40"/>
      <c r="AI28" s="1565">
        <f>ROUND(IF(AG28=0,0,AG28/ABS(AD28)),3)</f>
        <v>5.3999999999999999E-2</v>
      </c>
      <c r="AJ28" s="1492"/>
      <c r="AK28" s="1486"/>
    </row>
    <row r="29" spans="1:37" s="10" customFormat="1">
      <c r="A29" s="291"/>
      <c r="B29" s="615"/>
      <c r="C29" s="264"/>
      <c r="D29" s="615"/>
      <c r="E29" s="264"/>
      <c r="F29" s="615"/>
      <c r="G29" s="264"/>
      <c r="H29" s="615"/>
      <c r="I29" s="264"/>
      <c r="J29" s="615"/>
      <c r="K29" s="264"/>
      <c r="L29" s="615"/>
      <c r="M29" s="264"/>
      <c r="N29" s="615"/>
      <c r="O29" s="264"/>
      <c r="P29" s="615"/>
      <c r="Q29" s="264"/>
      <c r="R29" s="615"/>
      <c r="S29" s="264"/>
      <c r="T29" s="615"/>
      <c r="U29" s="264"/>
      <c r="V29" s="615"/>
      <c r="W29" s="264"/>
      <c r="X29" s="615"/>
      <c r="Y29" s="264"/>
      <c r="Z29" s="523"/>
      <c r="AA29" s="615"/>
      <c r="AB29" s="1232"/>
      <c r="AC29" s="264"/>
      <c r="AD29" s="615"/>
      <c r="AE29" s="264"/>
      <c r="AF29" s="1737"/>
      <c r="AG29" s="264"/>
      <c r="AH29" s="291"/>
      <c r="AI29" s="291"/>
      <c r="AJ29" s="1492"/>
      <c r="AK29" s="1486"/>
    </row>
    <row r="30" spans="1:37">
      <c r="B30" s="264"/>
      <c r="C30" s="264"/>
      <c r="D30" s="264"/>
      <c r="E30" s="264"/>
      <c r="F30" s="264"/>
      <c r="G30" s="264"/>
      <c r="H30" s="411"/>
      <c r="I30" s="411"/>
      <c r="J30" s="411"/>
      <c r="K30" s="264"/>
      <c r="L30" s="411"/>
      <c r="M30" s="411"/>
      <c r="N30" s="411"/>
      <c r="O30" s="411"/>
      <c r="P30" s="411"/>
      <c r="Q30" s="411"/>
      <c r="R30" s="411"/>
      <c r="S30" s="411"/>
      <c r="T30" s="411"/>
      <c r="U30" s="411"/>
      <c r="V30" s="411"/>
      <c r="W30" s="411"/>
      <c r="X30" s="411"/>
      <c r="Y30" s="1726"/>
      <c r="Z30" s="1727"/>
      <c r="AA30" s="264"/>
      <c r="AB30" s="1726"/>
      <c r="AC30" s="411"/>
      <c r="AD30" s="264"/>
      <c r="AE30" s="264"/>
      <c r="AF30" s="1728"/>
      <c r="AG30" s="264"/>
      <c r="AJ30" s="1629"/>
      <c r="AK30" s="1629"/>
    </row>
    <row r="31" spans="1:37" ht="15.75">
      <c r="A31" s="3" t="s">
        <v>458</v>
      </c>
      <c r="B31" s="264"/>
      <c r="C31" s="264"/>
      <c r="D31" s="264"/>
      <c r="E31" s="264"/>
      <c r="F31" s="264"/>
      <c r="G31" s="264"/>
      <c r="H31" s="411"/>
      <c r="I31" s="411"/>
      <c r="J31" s="411"/>
      <c r="K31" s="264"/>
      <c r="L31" s="411"/>
      <c r="M31" s="411"/>
      <c r="N31" s="411"/>
      <c r="O31" s="411"/>
      <c r="P31" s="411"/>
      <c r="Q31" s="411"/>
      <c r="R31" s="411"/>
      <c r="S31" s="411"/>
      <c r="T31" s="411"/>
      <c r="U31" s="411"/>
      <c r="V31" s="411"/>
      <c r="W31" s="411"/>
      <c r="X31" s="411"/>
      <c r="Y31" s="1726"/>
      <c r="Z31" s="1727"/>
      <c r="AA31" s="264"/>
      <c r="AB31" s="1726"/>
      <c r="AC31" s="411"/>
      <c r="AD31" s="264"/>
      <c r="AE31" s="264"/>
      <c r="AF31" s="1728"/>
      <c r="AG31" s="264"/>
      <c r="AJ31" s="1492"/>
      <c r="AK31" s="1492"/>
    </row>
    <row r="32" spans="1:37" ht="15.75">
      <c r="A32" s="3" t="s">
        <v>144</v>
      </c>
      <c r="B32" s="1751">
        <f>ROUND(B19-B28,1)</f>
        <v>6.8</v>
      </c>
      <c r="C32" s="13"/>
      <c r="D32" s="1751">
        <f>ROUND(D19-D28,1)</f>
        <v>7</v>
      </c>
      <c r="E32" s="13"/>
      <c r="F32" s="1751">
        <f>ROUND(F19-F28,1)</f>
        <v>4.4000000000000004</v>
      </c>
      <c r="G32" s="13"/>
      <c r="H32" s="1751">
        <f>ROUND(H19-H28,1)</f>
        <v>0</v>
      </c>
      <c r="I32" s="13"/>
      <c r="J32" s="1751">
        <f>ROUND(J19-J28,1)</f>
        <v>0</v>
      </c>
      <c r="K32" s="13"/>
      <c r="L32" s="1751">
        <f>ROUND(L19-L28,1)</f>
        <v>0</v>
      </c>
      <c r="M32" s="1730"/>
      <c r="N32" s="1751">
        <f>ROUND(N19-N28,1)</f>
        <v>0</v>
      </c>
      <c r="O32" s="1730"/>
      <c r="P32" s="1751">
        <f>ROUND(P19-P28,1)</f>
        <v>0</v>
      </c>
      <c r="Q32" s="393"/>
      <c r="R32" s="1751">
        <f>ROUND(R19-R28,1)</f>
        <v>0</v>
      </c>
      <c r="S32" s="1730"/>
      <c r="T32" s="1751">
        <f>ROUND(T19-T28,1)</f>
        <v>0</v>
      </c>
      <c r="U32" s="1730"/>
      <c r="V32" s="1751">
        <f>ROUND(V19-V28,1)</f>
        <v>0</v>
      </c>
      <c r="W32" s="1730"/>
      <c r="X32" s="1751">
        <f>ROUND(X19-X28,1)</f>
        <v>0</v>
      </c>
      <c r="Y32" s="1731"/>
      <c r="Z32" s="1732"/>
      <c r="AA32" s="1738">
        <f>ROUND(AA19-AA28,1)</f>
        <v>18.2</v>
      </c>
      <c r="AB32" s="1731"/>
      <c r="AC32" s="1730"/>
      <c r="AD32" s="1738">
        <f>ROUND(AD19-AD28,1)</f>
        <v>17.899999999999999</v>
      </c>
      <c r="AE32" s="26"/>
      <c r="AF32" s="402"/>
      <c r="AG32" s="1740">
        <f>ROUND(SUM(AA32-AD32),1)</f>
        <v>0.3</v>
      </c>
      <c r="AI32" s="1746">
        <f>ROUND(IF(AD32=0,1,AG32/ABS(AD32)),3)</f>
        <v>1.7000000000000001E-2</v>
      </c>
      <c r="AJ32" s="1492"/>
      <c r="AK32" s="1492"/>
    </row>
    <row r="33" spans="1:37" ht="15.75">
      <c r="A33" s="3"/>
      <c r="B33" s="393"/>
      <c r="C33" s="13"/>
      <c r="D33" s="393"/>
      <c r="E33" s="13"/>
      <c r="F33" s="393"/>
      <c r="G33" s="13"/>
      <c r="H33" s="393"/>
      <c r="I33" s="13"/>
      <c r="J33" s="393"/>
      <c r="K33" s="13"/>
      <c r="L33" s="393"/>
      <c r="M33" s="1730"/>
      <c r="N33" s="393"/>
      <c r="O33" s="1730"/>
      <c r="P33" s="393"/>
      <c r="Q33" s="393"/>
      <c r="R33" s="393"/>
      <c r="S33" s="1730"/>
      <c r="T33" s="393"/>
      <c r="U33" s="1730"/>
      <c r="V33" s="393"/>
      <c r="W33" s="1730"/>
      <c r="X33" s="393"/>
      <c r="Y33" s="1731"/>
      <c r="Z33" s="1732"/>
      <c r="AA33" s="26"/>
      <c r="AB33" s="1731"/>
      <c r="AC33" s="1730"/>
      <c r="AD33" s="26"/>
      <c r="AE33" s="26"/>
      <c r="AF33" s="402"/>
      <c r="AG33" s="13"/>
      <c r="AI33" s="543"/>
      <c r="AJ33" s="1492"/>
      <c r="AK33" s="1492"/>
    </row>
    <row r="34" spans="1:37">
      <c r="B34" s="264"/>
      <c r="C34" s="264"/>
      <c r="D34" s="264"/>
      <c r="E34" s="264"/>
      <c r="F34" s="264"/>
      <c r="G34" s="264"/>
      <c r="H34" s="411"/>
      <c r="I34" s="411"/>
      <c r="J34" s="411"/>
      <c r="K34" s="264"/>
      <c r="L34" s="411"/>
      <c r="M34" s="411"/>
      <c r="N34" s="411"/>
      <c r="O34" s="411"/>
      <c r="P34" s="411"/>
      <c r="Q34" s="411"/>
      <c r="R34" s="411"/>
      <c r="S34" s="411"/>
      <c r="T34" s="411"/>
      <c r="U34" s="411"/>
      <c r="V34" s="411"/>
      <c r="W34" s="411"/>
      <c r="X34" s="411"/>
      <c r="Y34" s="1726"/>
      <c r="Z34" s="1727"/>
      <c r="AA34" s="264"/>
      <c r="AB34" s="1726"/>
      <c r="AC34" s="411"/>
      <c r="AD34" s="264"/>
      <c r="AE34" s="264"/>
      <c r="AF34" s="1737"/>
      <c r="AG34" s="264"/>
      <c r="AJ34" s="1492"/>
      <c r="AK34" s="1492"/>
    </row>
    <row r="35" spans="1:37" ht="15.75">
      <c r="A35" s="3" t="s">
        <v>145</v>
      </c>
      <c r="B35" s="264"/>
      <c r="C35" s="264"/>
      <c r="D35" s="264"/>
      <c r="E35" s="264"/>
      <c r="F35" s="264"/>
      <c r="G35" s="264"/>
      <c r="H35" s="411"/>
      <c r="I35" s="411"/>
      <c r="J35" s="411"/>
      <c r="K35" s="264"/>
      <c r="L35" s="411"/>
      <c r="M35" s="411"/>
      <c r="N35" s="411"/>
      <c r="O35" s="411"/>
      <c r="P35" s="411"/>
      <c r="Q35" s="411"/>
      <c r="R35" s="411"/>
      <c r="S35" s="411"/>
      <c r="T35" s="411"/>
      <c r="U35" s="411"/>
      <c r="V35" s="411"/>
      <c r="W35" s="411"/>
      <c r="X35" s="411"/>
      <c r="Y35" s="1726"/>
      <c r="Z35" s="1727"/>
      <c r="AA35" s="264"/>
      <c r="AB35" s="1726"/>
      <c r="AC35" s="411"/>
      <c r="AD35" s="264"/>
      <c r="AE35" s="264"/>
      <c r="AF35" s="1737"/>
      <c r="AG35" s="264"/>
      <c r="AJ35" s="1492"/>
      <c r="AK35" s="1492"/>
    </row>
    <row r="36" spans="1:37">
      <c r="A36" s="291" t="s">
        <v>537</v>
      </c>
      <c r="B36" s="287">
        <v>0</v>
      </c>
      <c r="C36" s="264"/>
      <c r="D36" s="287">
        <v>0</v>
      </c>
      <c r="E36" s="264"/>
      <c r="F36" s="287">
        <f>$AA36-D36-B36</f>
        <v>0</v>
      </c>
      <c r="G36" s="264"/>
      <c r="H36" s="287"/>
      <c r="I36" s="411"/>
      <c r="J36" s="264"/>
      <c r="K36" s="264"/>
      <c r="L36" s="264"/>
      <c r="M36" s="411"/>
      <c r="N36" s="264"/>
      <c r="O36" s="411"/>
      <c r="P36" s="288"/>
      <c r="Q36" s="411"/>
      <c r="R36" s="288"/>
      <c r="S36" s="411"/>
      <c r="T36" s="288"/>
      <c r="U36" s="411"/>
      <c r="V36" s="288"/>
      <c r="W36" s="411"/>
      <c r="X36" s="288"/>
      <c r="Y36" s="1726"/>
      <c r="Z36" s="1727"/>
      <c r="AA36" s="531">
        <v>0</v>
      </c>
      <c r="AB36" s="264"/>
      <c r="AC36" s="524" t="s">
        <v>103</v>
      </c>
      <c r="AD36" s="531">
        <v>0</v>
      </c>
      <c r="AE36" s="275"/>
      <c r="AF36" s="1742"/>
      <c r="AG36" s="264">
        <f>ROUND(SUM(AA36-AD36),1)</f>
        <v>0</v>
      </c>
      <c r="AH36" s="1559"/>
      <c r="AI36" s="1580">
        <f>ROUND(IF(AG36=0,0,AG36/ABS(AD36)),3)</f>
        <v>0</v>
      </c>
      <c r="AJ36" s="1492"/>
      <c r="AK36" s="1492"/>
    </row>
    <row r="37" spans="1:37" s="10" customFormat="1">
      <c r="A37" s="291" t="s">
        <v>538</v>
      </c>
      <c r="B37" s="287">
        <v>0</v>
      </c>
      <c r="C37" s="264"/>
      <c r="D37" s="287">
        <v>0</v>
      </c>
      <c r="E37" s="264"/>
      <c r="F37" s="287">
        <f>$AA37-D37-B37</f>
        <v>0</v>
      </c>
      <c r="G37" s="264"/>
      <c r="H37" s="287"/>
      <c r="I37" s="264"/>
      <c r="J37" s="264"/>
      <c r="K37" s="264"/>
      <c r="L37" s="264"/>
      <c r="M37" s="264"/>
      <c r="N37" s="264"/>
      <c r="O37" s="264"/>
      <c r="P37" s="288"/>
      <c r="Q37" s="264"/>
      <c r="R37" s="288"/>
      <c r="S37" s="264"/>
      <c r="T37" s="288"/>
      <c r="U37" s="264"/>
      <c r="V37" s="288"/>
      <c r="W37" s="264"/>
      <c r="X37" s="288"/>
      <c r="Y37" s="264"/>
      <c r="Z37" s="523"/>
      <c r="AA37" s="531">
        <v>0</v>
      </c>
      <c r="AB37" s="264"/>
      <c r="AC37" s="524" t="s">
        <v>103</v>
      </c>
      <c r="AD37" s="531">
        <v>0</v>
      </c>
      <c r="AE37" s="268"/>
      <c r="AF37" s="406"/>
      <c r="AG37" s="1743">
        <f>ROUND(SUM(AA37-AD37),1)</f>
        <v>0</v>
      </c>
      <c r="AH37" s="1559"/>
      <c r="AI37" s="1024">
        <f>ROUND(IF(AG37=0,0,AG37/ABS(AD37)),3)</f>
        <v>0</v>
      </c>
      <c r="AJ37" s="1492"/>
      <c r="AK37" s="1486"/>
    </row>
    <row r="38" spans="1:37" s="10" customFormat="1">
      <c r="A38" s="291"/>
      <c r="B38" s="615"/>
      <c r="C38" s="264"/>
      <c r="D38" s="615"/>
      <c r="E38" s="264"/>
      <c r="F38" s="615"/>
      <c r="G38" s="264"/>
      <c r="H38" s="615"/>
      <c r="I38" s="264"/>
      <c r="J38" s="615"/>
      <c r="K38" s="264"/>
      <c r="L38" s="615"/>
      <c r="M38" s="264"/>
      <c r="N38" s="615"/>
      <c r="O38" s="264"/>
      <c r="P38" s="615"/>
      <c r="Q38" s="264"/>
      <c r="R38" s="615"/>
      <c r="S38" s="264"/>
      <c r="T38" s="615"/>
      <c r="U38" s="264"/>
      <c r="V38" s="615"/>
      <c r="W38" s="264"/>
      <c r="X38" s="615"/>
      <c r="Y38" s="264"/>
      <c r="Z38" s="523"/>
      <c r="AA38" s="1744"/>
      <c r="AB38" s="1232"/>
      <c r="AC38" s="264"/>
      <c r="AD38" s="1744"/>
      <c r="AE38" s="268"/>
      <c r="AF38" s="406"/>
      <c r="AG38" s="291"/>
      <c r="AH38" s="291"/>
      <c r="AI38" s="291"/>
      <c r="AJ38" s="1492"/>
      <c r="AK38" s="1486"/>
    </row>
    <row r="39" spans="1:37" s="10" customFormat="1" ht="15.75">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4"/>
      <c r="AC39" s="13"/>
      <c r="AD39" s="13">
        <f>ROUND(SUM(AD36:AD37),1)</f>
        <v>0</v>
      </c>
      <c r="AE39" s="107"/>
      <c r="AF39" s="402"/>
      <c r="AG39" s="357">
        <f>ROUND(SUM(AG36-AG37),1)</f>
        <v>0</v>
      </c>
      <c r="AH39" s="52"/>
      <c r="AI39" s="1565">
        <f>ROUND(IF(AG39=0,0,AG39/ABS(AD39)),3)</f>
        <v>0</v>
      </c>
      <c r="AJ39" s="1492"/>
      <c r="AK39" s="1486"/>
    </row>
    <row r="40" spans="1:37" s="10" customFormat="1">
      <c r="A40" s="291"/>
      <c r="B40" s="615"/>
      <c r="C40" s="264"/>
      <c r="D40" s="615"/>
      <c r="E40" s="264"/>
      <c r="F40" s="615"/>
      <c r="G40" s="264"/>
      <c r="H40" s="615"/>
      <c r="I40" s="264"/>
      <c r="J40" s="615"/>
      <c r="K40" s="264"/>
      <c r="L40" s="615"/>
      <c r="M40" s="264"/>
      <c r="N40" s="615"/>
      <c r="O40" s="264"/>
      <c r="P40" s="615"/>
      <c r="Q40" s="264"/>
      <c r="R40" s="615"/>
      <c r="S40" s="264"/>
      <c r="T40" s="615"/>
      <c r="U40" s="264"/>
      <c r="V40" s="615"/>
      <c r="W40" s="264"/>
      <c r="X40" s="615"/>
      <c r="Y40" s="264"/>
      <c r="Z40" s="523"/>
      <c r="AA40" s="615"/>
      <c r="AB40" s="1232"/>
      <c r="AC40" s="264"/>
      <c r="AD40" s="615"/>
      <c r="AE40" s="268"/>
      <c r="AF40" s="406"/>
      <c r="AG40" s="291"/>
      <c r="AH40" s="291"/>
      <c r="AI40" s="291"/>
      <c r="AJ40" s="1492"/>
      <c r="AK40" s="1486"/>
    </row>
    <row r="41" spans="1:37" s="10" customFormat="1">
      <c r="A41" s="291"/>
      <c r="B41" s="264"/>
      <c r="C41" s="264"/>
      <c r="D41" s="264" t="s">
        <v>103</v>
      </c>
      <c r="E41" s="264"/>
      <c r="F41" s="264"/>
      <c r="G41" s="264"/>
      <c r="H41" s="264"/>
      <c r="I41" s="264"/>
      <c r="J41" s="264"/>
      <c r="K41" s="264"/>
      <c r="L41" s="264"/>
      <c r="M41" s="264"/>
      <c r="N41" s="264"/>
      <c r="O41" s="264"/>
      <c r="P41" s="264"/>
      <c r="Q41" s="264"/>
      <c r="R41" s="264"/>
      <c r="S41" s="264"/>
      <c r="T41" s="264"/>
      <c r="U41" s="264"/>
      <c r="V41" s="264"/>
      <c r="W41" s="264"/>
      <c r="X41" s="264"/>
      <c r="Y41" s="264"/>
      <c r="Z41" s="523"/>
      <c r="AA41" s="264"/>
      <c r="AB41" s="1232"/>
      <c r="AC41" s="264"/>
      <c r="AD41" s="264"/>
      <c r="AE41" s="268"/>
      <c r="AF41" s="406"/>
      <c r="AG41" s="291"/>
      <c r="AH41" s="291"/>
      <c r="AI41" s="291"/>
      <c r="AJ41" s="1492"/>
      <c r="AK41" s="1486"/>
    </row>
    <row r="42" spans="1:37" ht="15.75">
      <c r="A42" s="3" t="s">
        <v>469</v>
      </c>
      <c r="B42" s="264"/>
      <c r="C42" s="264"/>
      <c r="D42" s="264" t="s">
        <v>103</v>
      </c>
      <c r="E42" s="264"/>
      <c r="F42" s="264"/>
      <c r="G42" s="264"/>
      <c r="H42" s="411"/>
      <c r="I42" s="411"/>
      <c r="J42" s="411"/>
      <c r="K42" s="264"/>
      <c r="L42" s="411"/>
      <c r="M42" s="411"/>
      <c r="N42" s="411"/>
      <c r="O42" s="411"/>
      <c r="P42" s="411"/>
      <c r="Q42" s="411"/>
      <c r="R42" s="411"/>
      <c r="S42" s="411"/>
      <c r="T42" s="411"/>
      <c r="U42" s="411"/>
      <c r="V42" s="411"/>
      <c r="W42" s="411"/>
      <c r="X42" s="411"/>
      <c r="Y42" s="1726"/>
      <c r="Z42" s="1727"/>
      <c r="AA42" s="264"/>
      <c r="AB42" s="1726"/>
      <c r="AC42" s="411"/>
      <c r="AD42" s="264"/>
      <c r="AE42" s="264"/>
      <c r="AF42" s="1728"/>
      <c r="AG42" s="264"/>
      <c r="AJ42" s="1492"/>
      <c r="AK42" s="1492"/>
    </row>
    <row r="43" spans="1:37" ht="15.75">
      <c r="A43" s="3" t="s">
        <v>594</v>
      </c>
      <c r="B43" s="264"/>
      <c r="C43" s="264"/>
      <c r="D43" s="264"/>
      <c r="E43" s="264"/>
      <c r="F43" s="264"/>
      <c r="G43" s="264"/>
      <c r="H43" s="411"/>
      <c r="I43" s="411"/>
      <c r="J43" s="411"/>
      <c r="K43" s="264"/>
      <c r="L43" s="411"/>
      <c r="M43" s="411"/>
      <c r="N43" s="411"/>
      <c r="O43" s="411"/>
      <c r="P43" s="411"/>
      <c r="Q43" s="411"/>
      <c r="R43" s="411"/>
      <c r="S43" s="411"/>
      <c r="T43" s="18"/>
      <c r="U43" s="411"/>
      <c r="V43" s="18"/>
      <c r="W43" s="411"/>
      <c r="X43" s="411"/>
      <c r="Y43" s="1726"/>
      <c r="Z43" s="1727"/>
      <c r="AA43" s="264"/>
      <c r="AB43" s="1726"/>
      <c r="AC43" s="411"/>
      <c r="AD43" s="18"/>
      <c r="AE43" s="18"/>
      <c r="AF43" s="406"/>
      <c r="AG43" s="264"/>
      <c r="AJ43" s="1492"/>
      <c r="AK43" s="1492"/>
    </row>
    <row r="44" spans="1:37" s="3" customFormat="1" ht="15.75">
      <c r="A44" s="3" t="s">
        <v>600</v>
      </c>
      <c r="B44" s="1738">
        <f>ROUND(+B32+B39,1)</f>
        <v>6.8</v>
      </c>
      <c r="C44" s="13"/>
      <c r="D44" s="1738">
        <f>ROUND(+D32+D39,1)</f>
        <v>7</v>
      </c>
      <c r="E44" s="18"/>
      <c r="F44" s="1738">
        <f>ROUND(+F32+F39,1)</f>
        <v>4.4000000000000004</v>
      </c>
      <c r="G44" s="18"/>
      <c r="H44" s="1738">
        <f>ROUND(+H32+H39,1)</f>
        <v>0</v>
      </c>
      <c r="I44" s="1745"/>
      <c r="J44" s="1738">
        <f>ROUND(+J32+J39,1)</f>
        <v>0</v>
      </c>
      <c r="K44" s="18"/>
      <c r="L44" s="1738">
        <f>ROUND(+L32+L39,1)</f>
        <v>0</v>
      </c>
      <c r="M44" s="26"/>
      <c r="N44" s="1738">
        <f>ROUND(+N32+N39,1)</f>
        <v>0</v>
      </c>
      <c r="O44" s="26"/>
      <c r="P44" s="1738">
        <f>ROUND(+P32+P39,1)</f>
        <v>0</v>
      </c>
      <c r="Q44" s="26"/>
      <c r="R44" s="1738">
        <f>ROUND(+R32+R39,1)</f>
        <v>0</v>
      </c>
      <c r="S44" s="1745"/>
      <c r="T44" s="1738">
        <f>ROUND(+T32+T39,1)</f>
        <v>0</v>
      </c>
      <c r="U44" s="1745"/>
      <c r="V44" s="1738">
        <f>ROUND(+V32+V39,1)</f>
        <v>0</v>
      </c>
      <c r="W44" s="1745"/>
      <c r="X44" s="1738">
        <f>ROUND(+X32+X39,1)</f>
        <v>0</v>
      </c>
      <c r="Y44" s="1731"/>
      <c r="Z44" s="1732"/>
      <c r="AA44" s="1738">
        <f>ROUND(AA32+AA39,1)</f>
        <v>18.2</v>
      </c>
      <c r="AB44" s="13"/>
      <c r="AC44" s="669"/>
      <c r="AD44" s="1738">
        <f>ROUND(AD32+AD39,1)</f>
        <v>17.899999999999999</v>
      </c>
      <c r="AE44" s="26"/>
      <c r="AF44" s="92"/>
      <c r="AG44" s="1740">
        <f>ROUND(SUM(AA44-AD44),1)</f>
        <v>0.3</v>
      </c>
      <c r="AH44" s="291"/>
      <c r="AI44" s="1746">
        <f>ROUND(IF(AD44=0,1,AG44/ABS(AD44)),3)</f>
        <v>1.7000000000000001E-2</v>
      </c>
      <c r="AJ44" s="1492"/>
      <c r="AK44" s="1492"/>
    </row>
    <row r="45" spans="1:37" s="3" customFormat="1" ht="15.75">
      <c r="B45" s="26"/>
      <c r="C45" s="13"/>
      <c r="D45" s="26"/>
      <c r="E45" s="18"/>
      <c r="F45" s="26"/>
      <c r="G45" s="18"/>
      <c r="H45" s="26"/>
      <c r="I45" s="1745"/>
      <c r="J45" s="26"/>
      <c r="K45" s="18"/>
      <c r="L45" s="26"/>
      <c r="M45" s="26"/>
      <c r="N45" s="26"/>
      <c r="O45" s="26"/>
      <c r="P45" s="26"/>
      <c r="Q45" s="26"/>
      <c r="R45" s="26"/>
      <c r="S45" s="1745"/>
      <c r="T45" s="26"/>
      <c r="U45" s="1745"/>
      <c r="V45" s="26"/>
      <c r="W45" s="1745"/>
      <c r="X45" s="26"/>
      <c r="Y45" s="1731"/>
      <c r="Z45" s="1732"/>
      <c r="AA45" s="26"/>
      <c r="AB45" s="13"/>
      <c r="AC45" s="669"/>
      <c r="AD45" s="26"/>
      <c r="AE45" s="26"/>
      <c r="AF45" s="92"/>
      <c r="AG45" s="13"/>
      <c r="AH45" s="291"/>
      <c r="AI45" s="543"/>
      <c r="AJ45" s="1492"/>
      <c r="AK45" s="1492"/>
    </row>
    <row r="46" spans="1:37" ht="15.75">
      <c r="A46" s="3" t="s">
        <v>433</v>
      </c>
      <c r="B46" s="1747">
        <f>ROUND(B14+B44,1)</f>
        <v>2229.3000000000002</v>
      </c>
      <c r="C46" s="20"/>
      <c r="D46" s="1747">
        <f>ROUND(D14+D44,1)</f>
        <v>2236.3000000000002</v>
      </c>
      <c r="E46" s="20"/>
      <c r="F46" s="1747">
        <f>ROUND(F14+F44,1)</f>
        <v>2240.6999999999998</v>
      </c>
      <c r="G46" s="20"/>
      <c r="H46" s="20">
        <f>ROUND(H14+H44,1)</f>
        <v>0</v>
      </c>
      <c r="I46" s="1717"/>
      <c r="J46" s="20">
        <f>ROUND(J14+J44,1)</f>
        <v>0</v>
      </c>
      <c r="K46" s="20"/>
      <c r="L46" s="20">
        <f>ROUND(L14+L44,1)</f>
        <v>0</v>
      </c>
      <c r="M46" s="20"/>
      <c r="N46" s="20">
        <f>ROUND(N14+N44,1)</f>
        <v>0</v>
      </c>
      <c r="O46" s="20"/>
      <c r="P46" s="20">
        <f>ROUND(P14+P44,1)</f>
        <v>0</v>
      </c>
      <c r="Q46" s="20"/>
      <c r="R46" s="20">
        <f>ROUND(R14+R44,1)</f>
        <v>0</v>
      </c>
      <c r="S46" s="1717"/>
      <c r="T46" s="20">
        <f>ROUND(T14+T44,1)</f>
        <v>0</v>
      </c>
      <c r="U46" s="1717"/>
      <c r="V46" s="20">
        <f>ROUND(V14+V44,1)</f>
        <v>0</v>
      </c>
      <c r="W46" s="1717"/>
      <c r="X46" s="20">
        <f>ROUND(X14+X44,1)</f>
        <v>0</v>
      </c>
      <c r="Y46" s="1718"/>
      <c r="Z46" s="1719"/>
      <c r="AA46" s="20">
        <f>ROUND(SUM(AA14,AA44),1)</f>
        <v>2240.6999999999998</v>
      </c>
      <c r="AB46" s="20"/>
      <c r="AC46" s="1109"/>
      <c r="AD46" s="1531">
        <f>ROUND(SUM(AD14,AD44),1)</f>
        <v>1910.2</v>
      </c>
      <c r="AE46" s="20"/>
      <c r="AF46" s="403"/>
      <c r="AG46" s="1531">
        <f>ROUND(SUM(AA46-AD46),1)</f>
        <v>330.5</v>
      </c>
      <c r="AH46" s="379"/>
      <c r="AI46" s="1748">
        <f>ROUND(IF(AD46=0,1,AG46/ABS(AD46)),3)</f>
        <v>0.17299999999999999</v>
      </c>
      <c r="AJ46" s="1492"/>
      <c r="AK46" s="1492"/>
    </row>
    <row r="47" spans="1:37">
      <c r="A47" s="291" t="s">
        <v>103</v>
      </c>
      <c r="B47" s="1749"/>
      <c r="C47" s="268"/>
      <c r="D47" s="1749"/>
      <c r="E47" s="268"/>
      <c r="F47" s="1749"/>
      <c r="G47" s="268"/>
      <c r="H47" s="1749"/>
      <c r="I47" s="268"/>
      <c r="J47" s="1749"/>
      <c r="K47" s="268"/>
      <c r="L47" s="1749"/>
      <c r="M47" s="268"/>
      <c r="N47" s="1749"/>
      <c r="O47" s="268"/>
      <c r="P47" s="1749"/>
      <c r="Q47" s="268"/>
      <c r="R47" s="1749"/>
      <c r="S47" s="268"/>
      <c r="T47" s="1749"/>
      <c r="U47" s="268"/>
      <c r="V47" s="1749"/>
      <c r="W47" s="268"/>
      <c r="X47" s="1749"/>
      <c r="Y47" s="268"/>
      <c r="Z47" s="268"/>
      <c r="AA47" s="1749"/>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customSheetViews>
    <customSheetView guid="{83D69B98-1714-4D17-901F-87B47BE66947}" scale="90" showGridLines="0" fitToPage="1" printArea="1" topLeftCell="D12">
      <selection activeCell="I31" sqref="I31"/>
      <pageMargins left="0.25" right="0.25" top="0.5" bottom="0.25" header="0" footer="0.25"/>
      <printOptions horizontalCentered="1"/>
      <pageSetup firstPageNumber="36" fitToHeight="0" orientation="landscape" useFirstPageNumber="1" r:id="rId1"/>
      <headerFooter scaleWithDoc="0" alignWithMargins="0">
        <oddFooter>&amp;C&amp;8&amp;P</oddFooter>
      </headerFooter>
    </customSheetView>
    <customSheetView guid="{F9AE1502-86F7-4AAA-AE66-F6A75A634C1B}"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2"/>
      <headerFooter scaleWithDoc="0" alignWithMargins="0">
        <oddFooter>&amp;C&amp;8&amp;P</oddFooter>
      </headerFooter>
    </customSheetView>
    <customSheetView guid="{C41E3923-0A88-49D0-AE43-0E74D386A056}"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3"/>
      <headerFooter scaleWithDoc="0" alignWithMargins="0">
        <oddFooter>&amp;C&amp;8&amp;P</oddFooter>
      </headerFooter>
    </customSheetView>
    <customSheetView guid="{1DF171D7-3BFC-49F6-B708-0F91FCFAB6E2}"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4"/>
      <headerFooter scaleWithDoc="0" alignWithMargins="0">
        <oddFooter>&amp;C&amp;8&amp;P</oddFooter>
      </headerFooter>
    </customSheetView>
    <customSheetView guid="{9F00D83C-7F4F-41B5-9976-8610D9EBC976}" scale="90" showGridLines="0" fitToPage="1" printArea="1" topLeftCell="D20">
      <selection activeCell="AA26" sqref="AA26"/>
      <pageMargins left="0.25" right="0.25" top="0.5" bottom="0.25" header="0" footer="0.25"/>
      <printOptions horizontalCentered="1"/>
      <pageSetup firstPageNumber="36" fitToHeight="0" orientation="landscape" useFirstPageNumber="1" r:id="rId5"/>
      <headerFooter scaleWithDoc="0" alignWithMargins="0">
        <oddFooter>&amp;C&amp;8&amp;P</oddFooter>
      </headerFooter>
    </customSheetView>
    <customSheetView guid="{D1467C25-646C-4F1A-9353-0E890E575522}" scale="90" showGridLines="0" fitToPage="1" printArea="1" topLeftCell="A12">
      <selection activeCell="P26" sqref="P26"/>
      <pageMargins left="0.25" right="0.25" top="0.5" bottom="0.25" header="0" footer="0.25"/>
      <printOptions horizontalCentered="1"/>
      <pageSetup firstPageNumber="36" fitToHeight="0" orientation="landscape" useFirstPageNumber="1" r:id="rId6"/>
      <headerFooter scaleWithDoc="0" alignWithMargins="0">
        <oddFooter>&amp;C&amp;8&amp;P</oddFooter>
      </headerFooter>
    </customSheetView>
    <customSheetView guid="{3A50DD26-AAF5-43D4-97DE-BAE3367A2F29}" scale="90" showGridLines="0" fitToPage="1" printArea="1">
      <selection activeCell="P26" sqref="P26"/>
      <pageMargins left="0.25" right="0.25" top="0.5" bottom="0.25" header="0" footer="0.25"/>
      <printOptions horizontalCentered="1"/>
      <pageSetup firstPageNumber="36" fitToHeight="0" orientation="landscape" useFirstPageNumber="1" r:id="rId7"/>
      <headerFooter scaleWithDoc="0" alignWithMargins="0">
        <oddFooter>&amp;C&amp;8&amp;P</oddFooter>
      </headerFooter>
    </customSheetView>
    <customSheetView guid="{C3636880-B45B-4897-94F2-F91976416934}" scale="90" showGridLines="0" fitToPage="1" printArea="1" topLeftCell="A12">
      <selection activeCell="B36" sqref="B36:B37"/>
      <pageMargins left="0.25" right="0.25" top="0.5" bottom="0.25" header="0" footer="0.25"/>
      <printOptions horizontalCentered="1"/>
      <pageSetup firstPageNumber="36" fitToHeight="0" orientation="landscape" useFirstPageNumber="1" r:id="rId8"/>
      <headerFooter scaleWithDoc="0" alignWithMargins="0">
        <oddFooter>&amp;C&amp;8&amp;P</oddFooter>
      </headerFooter>
    </customSheetView>
  </customSheetViews>
  <mergeCells count="1">
    <mergeCell ref="Z10:AI10"/>
  </mergeCells>
  <printOptions horizontalCentered="1"/>
  <pageMargins left="0.25" right="0.25" top="0.5" bottom="0.25" header="0" footer="0.25"/>
  <pageSetup firstPageNumber="36" fitToHeight="0" orientation="landscape" useFirstPageNumber="1" r:id="rId9"/>
  <headerFooter scaleWithDoc="0" alignWithMargins="0">
    <oddFooter>&amp;C&amp;8&amp;P</oddFooter>
  </headerFooter>
  <customProperties>
    <customPr name="SheetOptions" r:id="rId10"/>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workbookViewId="0"/>
  </sheetViews>
  <sheetFormatPr defaultColWidth="8.88671875" defaultRowHeight="15"/>
  <cols>
    <col min="1" max="1" width="41.109375" style="291" customWidth="1"/>
    <col min="2" max="2" width="11.88671875" style="291" customWidth="1"/>
    <col min="3" max="3" width="1.109375" style="291" customWidth="1"/>
    <col min="4" max="4" width="11.88671875" style="291" customWidth="1"/>
    <col min="5" max="5" width="1.109375" style="291" customWidth="1"/>
    <col min="6" max="6" width="11.88671875" style="291" customWidth="1"/>
    <col min="7" max="7" width="1.109375" style="291" customWidth="1"/>
    <col min="8" max="8" width="11.88671875" style="291" customWidth="1"/>
    <col min="9" max="9" width="1.109375" style="291" customWidth="1"/>
    <col min="10" max="10" width="11.88671875" style="291" customWidth="1"/>
    <col min="11" max="11" width="1.109375" style="291" customWidth="1"/>
    <col min="12" max="12" width="12.88671875" style="291" customWidth="1"/>
    <col min="13" max="13" width="1.109375" style="291" customWidth="1"/>
    <col min="14" max="14" width="11.88671875" style="291" customWidth="1"/>
    <col min="15" max="15" width="1.109375" style="291" customWidth="1"/>
    <col min="16" max="16" width="11.88671875" style="291" customWidth="1"/>
    <col min="17" max="17" width="1.109375" style="291" customWidth="1"/>
    <col min="18" max="18" width="11.88671875" style="291" customWidth="1"/>
    <col min="19" max="19" width="1.109375" style="291" customWidth="1"/>
    <col min="20" max="20" width="11.88671875" style="291" customWidth="1"/>
    <col min="21" max="21" width="1.109375" style="291" customWidth="1"/>
    <col min="22" max="22" width="11.88671875" style="291" customWidth="1"/>
    <col min="23" max="23" width="1.109375" style="291" customWidth="1"/>
    <col min="24" max="24" width="11.88671875" style="291" customWidth="1"/>
    <col min="25" max="26" width="1.109375" style="291" customWidth="1"/>
    <col min="27" max="27" width="10.88671875" style="291" customWidth="1"/>
    <col min="28" max="29" width="1.109375" style="291" customWidth="1"/>
    <col min="30" max="30" width="10.88671875" style="291" customWidth="1"/>
    <col min="31" max="32" width="1.109375" style="291" customWidth="1"/>
    <col min="33" max="33" width="10.88671875" style="291" customWidth="1"/>
    <col min="34" max="34" width="1.88671875" style="291" customWidth="1"/>
    <col min="35" max="35" width="10.88671875" style="291" customWidth="1"/>
    <col min="36" max="37" width="8.88671875" style="291"/>
    <col min="38" max="38" width="4.88671875" style="291" customWidth="1"/>
    <col min="39" max="39" width="4.5546875" style="291" bestFit="1" customWidth="1"/>
    <col min="40" max="16384" width="8.88671875" style="291"/>
  </cols>
  <sheetData>
    <row r="1" spans="1:37">
      <c r="A1" s="265" t="s">
        <v>97</v>
      </c>
    </row>
    <row r="2" spans="1:37">
      <c r="A2" s="354"/>
    </row>
    <row r="3" spans="1:37" ht="15.75">
      <c r="A3" s="3" t="s">
        <v>98</v>
      </c>
      <c r="K3" s="3"/>
      <c r="L3" s="3"/>
      <c r="AI3" s="1215" t="s">
        <v>601</v>
      </c>
    </row>
    <row r="4" spans="1:37" ht="15.75">
      <c r="A4" s="6" t="s">
        <v>602</v>
      </c>
      <c r="H4" s="3" t="s">
        <v>103</v>
      </c>
      <c r="K4" s="3"/>
      <c r="L4" s="3"/>
      <c r="X4" s="291" t="s">
        <v>103</v>
      </c>
    </row>
    <row r="5" spans="1:37" ht="15.75">
      <c r="A5" s="6" t="s">
        <v>328</v>
      </c>
      <c r="K5" s="3"/>
      <c r="L5" s="3"/>
      <c r="AB5" s="1215"/>
      <c r="AC5" s="1215"/>
      <c r="AE5" s="1215"/>
    </row>
    <row r="6" spans="1:37" ht="15.75">
      <c r="A6" s="6" t="str">
        <f>'Cashflow Governmental'!A6</f>
        <v>FISCAL YEAR 2026-2027</v>
      </c>
      <c r="K6" s="3"/>
      <c r="L6" s="3"/>
    </row>
    <row r="7" spans="1:37" ht="15.75">
      <c r="A7" s="3" t="s">
        <v>102</v>
      </c>
      <c r="K7" s="3"/>
    </row>
    <row r="8" spans="1:37" ht="15.75">
      <c r="A8" s="3"/>
      <c r="K8" s="3"/>
    </row>
    <row r="9" spans="1:37" ht="15.75">
      <c r="A9" s="1216"/>
    </row>
    <row r="10" spans="1:37" ht="15.75">
      <c r="B10" s="1492"/>
      <c r="H10" s="3"/>
      <c r="I10" s="3"/>
      <c r="J10" s="3"/>
      <c r="Z10" s="2065" t="str">
        <f>'Cashflow Governmental'!$AB$12</f>
        <v>3 Months Ended June 30</v>
      </c>
      <c r="AA10" s="2065"/>
      <c r="AB10" s="2065"/>
      <c r="AC10" s="2065"/>
      <c r="AD10" s="2065"/>
      <c r="AE10" s="2065"/>
      <c r="AF10" s="2065"/>
      <c r="AG10" s="2065"/>
      <c r="AH10" s="2065"/>
      <c r="AI10" s="2065"/>
    </row>
    <row r="11" spans="1:37" ht="15.75">
      <c r="B11" s="314" t="str">
        <f>'Cashflow Governmental'!C13</f>
        <v>2026</v>
      </c>
      <c r="C11" s="3"/>
      <c r="D11" s="3"/>
      <c r="E11" s="3"/>
      <c r="F11" s="3"/>
      <c r="G11" s="3"/>
      <c r="H11" s="3"/>
      <c r="I11" s="3"/>
      <c r="J11" s="3"/>
      <c r="K11" s="3"/>
      <c r="L11" s="3"/>
      <c r="M11" s="3"/>
      <c r="N11" s="3"/>
      <c r="O11" s="3"/>
      <c r="P11" s="3"/>
      <c r="Q11" s="3"/>
      <c r="R11" s="3"/>
      <c r="S11" s="3"/>
      <c r="T11" s="314">
        <f>'Cashflow Governmental'!U13</f>
        <v>2027</v>
      </c>
      <c r="U11" s="3"/>
      <c r="V11" s="52"/>
      <c r="W11" s="3"/>
      <c r="X11" s="3"/>
      <c r="Y11" s="3"/>
      <c r="Z11" s="3"/>
      <c r="AA11" s="3"/>
      <c r="AB11" s="3"/>
      <c r="AC11" s="3"/>
      <c r="AD11" s="6"/>
      <c r="AE11" s="6"/>
      <c r="AF11" s="3"/>
      <c r="AG11" s="320" t="s">
        <v>110</v>
      </c>
      <c r="AH11" s="320"/>
      <c r="AI11" s="318" t="s">
        <v>111</v>
      </c>
    </row>
    <row r="12" spans="1:37" ht="15.75">
      <c r="B12" s="1217" t="s">
        <v>329</v>
      </c>
      <c r="C12" s="3"/>
      <c r="D12" s="1581" t="s">
        <v>330</v>
      </c>
      <c r="E12" s="3"/>
      <c r="F12" s="1581" t="s">
        <v>331</v>
      </c>
      <c r="G12" s="3"/>
      <c r="H12" s="1581" t="s">
        <v>332</v>
      </c>
      <c r="I12" s="3"/>
      <c r="J12" s="1582" t="s">
        <v>599</v>
      </c>
      <c r="K12" s="3"/>
      <c r="L12" s="1582" t="s">
        <v>445</v>
      </c>
      <c r="M12" s="3"/>
      <c r="N12" s="1582" t="s">
        <v>446</v>
      </c>
      <c r="O12" s="3"/>
      <c r="P12" s="1581" t="s">
        <v>336</v>
      </c>
      <c r="Q12" s="3"/>
      <c r="R12" s="1581" t="s">
        <v>337</v>
      </c>
      <c r="S12" s="3"/>
      <c r="T12" s="1582" t="s">
        <v>338</v>
      </c>
      <c r="U12" s="3"/>
      <c r="V12" s="1581" t="s">
        <v>339</v>
      </c>
      <c r="W12" s="3"/>
      <c r="X12" s="1582" t="s">
        <v>447</v>
      </c>
      <c r="Y12" s="3"/>
      <c r="Z12" s="3"/>
      <c r="AA12" s="1217" t="str">
        <f>'Cashflow Governmental'!AB14</f>
        <v>2026</v>
      </c>
      <c r="AB12" s="52"/>
      <c r="AC12" s="52"/>
      <c r="AD12" s="1581" t="str">
        <f>'Cashflow Governmental'!AE14</f>
        <v>2025</v>
      </c>
      <c r="AE12" s="52"/>
      <c r="AF12" s="52"/>
      <c r="AG12" s="1583" t="s">
        <v>112</v>
      </c>
      <c r="AH12" s="320"/>
      <c r="AI12" s="1583" t="s">
        <v>113</v>
      </c>
    </row>
    <row r="13" spans="1:37" ht="6" customHeight="1">
      <c r="B13" s="52"/>
      <c r="C13" s="3"/>
      <c r="D13" s="52"/>
      <c r="E13" s="3"/>
      <c r="F13" s="52"/>
      <c r="G13" s="3"/>
      <c r="H13" s="52"/>
      <c r="I13" s="3"/>
      <c r="J13" s="314"/>
      <c r="K13" s="3"/>
      <c r="L13" s="314"/>
      <c r="M13" s="3"/>
      <c r="N13" s="314"/>
      <c r="O13" s="3"/>
      <c r="P13" s="52"/>
      <c r="Q13" s="3"/>
      <c r="R13" s="52"/>
      <c r="S13" s="3"/>
      <c r="T13" s="314"/>
      <c r="U13" s="3"/>
      <c r="V13" s="52"/>
      <c r="W13" s="3"/>
      <c r="X13" s="314"/>
      <c r="Y13" s="3"/>
      <c r="Z13" s="3"/>
      <c r="AA13" s="52"/>
      <c r="AB13" s="52"/>
      <c r="AC13" s="52"/>
      <c r="AD13" s="52"/>
      <c r="AE13" s="52"/>
      <c r="AF13" s="52"/>
      <c r="AG13" s="320"/>
      <c r="AH13" s="320"/>
      <c r="AI13" s="320"/>
    </row>
    <row r="14" spans="1:37" ht="15.75">
      <c r="A14" s="3" t="s">
        <v>341</v>
      </c>
      <c r="B14" s="82">
        <v>46.6</v>
      </c>
      <c r="C14" s="20"/>
      <c r="D14" s="1552">
        <f>B46</f>
        <v>46.8</v>
      </c>
      <c r="E14" s="1552"/>
      <c r="F14" s="1552">
        <f>D46</f>
        <v>46.8</v>
      </c>
      <c r="G14" s="20"/>
      <c r="H14" s="1552"/>
      <c r="I14" s="1717"/>
      <c r="J14" s="1552"/>
      <c r="K14" s="20"/>
      <c r="L14" s="1552"/>
      <c r="M14" s="1717"/>
      <c r="N14" s="1552"/>
      <c r="O14" s="1717"/>
      <c r="P14" s="1552"/>
      <c r="Q14" s="1552"/>
      <c r="R14" s="1552"/>
      <c r="S14" s="1552"/>
      <c r="T14" s="1552"/>
      <c r="U14" s="1552"/>
      <c r="V14" s="1552"/>
      <c r="W14" s="1552"/>
      <c r="X14" s="1552"/>
      <c r="Y14" s="1718"/>
      <c r="Z14" s="1719"/>
      <c r="AA14" s="1552">
        <f>+B14</f>
        <v>46.6</v>
      </c>
      <c r="AB14" s="1718"/>
      <c r="AC14" s="1717"/>
      <c r="AD14" s="1943">
        <v>44.7</v>
      </c>
      <c r="AE14" s="1552"/>
      <c r="AF14" s="1720"/>
      <c r="AG14" s="20">
        <f>ROUND(SUM(AA14-AD14),1)</f>
        <v>1.9</v>
      </c>
      <c r="AI14" s="1584">
        <f>ROUND(IF(AG14=0,0,AG14/(AD14)),3)</f>
        <v>4.2999999999999997E-2</v>
      </c>
      <c r="AJ14" s="1627"/>
      <c r="AK14" s="1627"/>
    </row>
    <row r="15" spans="1:37">
      <c r="I15" s="1554"/>
      <c r="J15" s="1554"/>
      <c r="L15" s="1554"/>
      <c r="M15" s="1554"/>
      <c r="N15" s="1554"/>
      <c r="O15" s="1554"/>
      <c r="P15" s="1554"/>
      <c r="Q15" s="1554"/>
      <c r="R15" s="1554"/>
      <c r="S15" s="1554"/>
      <c r="T15" s="1554"/>
      <c r="U15" s="1554"/>
      <c r="V15" s="1554"/>
      <c r="W15" s="1554"/>
      <c r="X15" s="1554"/>
      <c r="Y15" s="1721"/>
      <c r="Z15" s="1722"/>
      <c r="AB15" s="1721"/>
      <c r="AC15" s="1554"/>
      <c r="AF15" s="1723"/>
      <c r="AJ15" s="1627"/>
      <c r="AK15" s="1627"/>
    </row>
    <row r="16" spans="1:37" ht="15.75">
      <c r="A16" s="3" t="s">
        <v>114</v>
      </c>
      <c r="I16" s="1554"/>
      <c r="J16" s="1554"/>
      <c r="L16" s="1554"/>
      <c r="M16" s="1554"/>
      <c r="N16" s="1554"/>
      <c r="O16" s="1554"/>
      <c r="P16" s="1554"/>
      <c r="Q16" s="1554"/>
      <c r="R16" s="1554"/>
      <c r="S16" s="1554"/>
      <c r="T16" s="1554"/>
      <c r="U16" s="1554"/>
      <c r="V16" s="1554"/>
      <c r="W16" s="1554"/>
      <c r="X16" s="1554"/>
      <c r="Y16" s="1721"/>
      <c r="Z16" s="1722"/>
      <c r="AB16" s="1721"/>
      <c r="AC16" s="1554"/>
      <c r="AF16" s="1723"/>
      <c r="AJ16" s="1627"/>
      <c r="AK16" s="1627"/>
    </row>
    <row r="17" spans="1:37">
      <c r="A17" s="412" t="s">
        <v>590</v>
      </c>
      <c r="B17" s="1724">
        <v>0.3</v>
      </c>
      <c r="C17" s="264"/>
      <c r="D17" s="1724">
        <v>0</v>
      </c>
      <c r="E17" s="264"/>
      <c r="F17" s="1724">
        <f>$AA17-D17-B17</f>
        <v>0.3</v>
      </c>
      <c r="G17" s="288"/>
      <c r="H17" s="1724"/>
      <c r="I17" s="411"/>
      <c r="J17" s="1724"/>
      <c r="K17" s="264"/>
      <c r="L17" s="1724"/>
      <c r="M17" s="411"/>
      <c r="N17" s="1724"/>
      <c r="O17" s="411"/>
      <c r="P17" s="1725"/>
      <c r="Q17" s="288"/>
      <c r="R17" s="1725"/>
      <c r="S17" s="288"/>
      <c r="T17" s="1725"/>
      <c r="U17" s="288"/>
      <c r="V17" s="1725"/>
      <c r="W17" s="288"/>
      <c r="X17" s="1725"/>
      <c r="Y17" s="1726"/>
      <c r="Z17" s="1727"/>
      <c r="AA17" s="985">
        <v>0.6</v>
      </c>
      <c r="AB17" s="264"/>
      <c r="AC17" s="524" t="s">
        <v>103</v>
      </c>
      <c r="AD17" s="985">
        <v>0.8</v>
      </c>
      <c r="AE17" s="288"/>
      <c r="AF17" s="1728"/>
      <c r="AG17" s="264">
        <f>ROUND(SUM(AA17-AD17),1)</f>
        <v>-0.2</v>
      </c>
      <c r="AI17" s="1585">
        <f>ROUND(IF(AD17=0,1,AG17/ABS(AD17)),3)</f>
        <v>-0.25</v>
      </c>
      <c r="AJ17" s="1627"/>
      <c r="AK17" s="1627"/>
    </row>
    <row r="18" spans="1:37">
      <c r="A18" s="412"/>
      <c r="B18" s="287"/>
      <c r="C18" s="264"/>
      <c r="D18" s="287"/>
      <c r="E18" s="264"/>
      <c r="F18" s="287"/>
      <c r="G18" s="288"/>
      <c r="H18" s="287"/>
      <c r="I18" s="411"/>
      <c r="J18" s="287"/>
      <c r="K18" s="264"/>
      <c r="L18" s="288"/>
      <c r="M18" s="411"/>
      <c r="N18" s="288"/>
      <c r="O18" s="411"/>
      <c r="P18" s="288"/>
      <c r="Q18" s="288"/>
      <c r="R18" s="288"/>
      <c r="S18" s="288"/>
      <c r="T18" s="288"/>
      <c r="U18" s="288"/>
      <c r="V18" s="288"/>
      <c r="W18" s="288"/>
      <c r="X18" s="288"/>
      <c r="Y18" s="1726"/>
      <c r="Z18" s="1727"/>
      <c r="AA18" s="287"/>
      <c r="AB18" s="1726"/>
      <c r="AC18" s="411"/>
      <c r="AD18" s="287"/>
      <c r="AE18" s="288"/>
      <c r="AF18" s="1728"/>
      <c r="AG18" s="1036"/>
      <c r="AI18" s="1626"/>
      <c r="AJ18" s="1627"/>
      <c r="AK18" s="1627"/>
    </row>
    <row r="19" spans="1:37" ht="15.75">
      <c r="A19" s="3" t="s">
        <v>427</v>
      </c>
      <c r="B19" s="26">
        <f>ROUND(SUM(B17),1)</f>
        <v>0.3</v>
      </c>
      <c r="C19" s="13"/>
      <c r="D19" s="26">
        <f>ROUND(SUM(D17),1)</f>
        <v>0</v>
      </c>
      <c r="E19" s="13"/>
      <c r="F19" s="26">
        <f>ROUND(SUM(F17),1)</f>
        <v>0.3</v>
      </c>
      <c r="G19" s="13"/>
      <c r="H19" s="26">
        <f>ROUND(SUM(H17),1)</f>
        <v>0</v>
      </c>
      <c r="I19" s="18"/>
      <c r="J19" s="26">
        <f>ROUND(SUM(J17),1)</f>
        <v>0</v>
      </c>
      <c r="K19" s="13"/>
      <c r="L19" s="26">
        <f>ROUND(SUM(L17),1)</f>
        <v>0</v>
      </c>
      <c r="M19" s="1730"/>
      <c r="N19" s="26">
        <f>ROUND(SUM(N17),1)</f>
        <v>0</v>
      </c>
      <c r="O19" s="1730"/>
      <c r="P19" s="26">
        <f>ROUND(SUM(P17),1)</f>
        <v>0</v>
      </c>
      <c r="Q19" s="26">
        <f t="shared" ref="Q19" si="0">ROUND(SUM(Q17),1)</f>
        <v>0</v>
      </c>
      <c r="R19" s="26">
        <f>ROUND(SUM(R17),1)</f>
        <v>0</v>
      </c>
      <c r="S19" s="1730"/>
      <c r="T19" s="26">
        <f>ROUND(SUM(T17),1)</f>
        <v>0</v>
      </c>
      <c r="U19" s="1730"/>
      <c r="V19" s="1729">
        <f>ROUND(SUM(V17),1)</f>
        <v>0</v>
      </c>
      <c r="W19" s="1730"/>
      <c r="X19" s="1729">
        <f>ROUND(SUM(X17),1)</f>
        <v>0</v>
      </c>
      <c r="Y19" s="1731"/>
      <c r="Z19" s="1732"/>
      <c r="AA19" s="26">
        <f>ROUND(SUM(AA17),1)</f>
        <v>0.6</v>
      </c>
      <c r="AB19" s="1731"/>
      <c r="AC19" s="1732"/>
      <c r="AD19" s="26">
        <f>ROUND(SUM(AD17),1)</f>
        <v>0.8</v>
      </c>
      <c r="AE19" s="26"/>
      <c r="AF19" s="1728"/>
      <c r="AG19" s="357">
        <f>ROUND(SUM(AG17),1)</f>
        <v>-0.2</v>
      </c>
      <c r="AH19" s="76"/>
      <c r="AI19" s="1733">
        <f>ROUND(IF(AD19=0,1,AG19/ABS(AD19)),3)</f>
        <v>-0.25</v>
      </c>
      <c r="AJ19" s="1627"/>
      <c r="AK19" s="1627"/>
    </row>
    <row r="20" spans="1:37">
      <c r="B20" s="615"/>
      <c r="C20" s="264"/>
      <c r="D20" s="615"/>
      <c r="E20" s="264"/>
      <c r="F20" s="615"/>
      <c r="G20" s="264"/>
      <c r="H20" s="1734"/>
      <c r="I20" s="411"/>
      <c r="J20" s="1734"/>
      <c r="K20" s="264"/>
      <c r="L20" s="1734"/>
      <c r="M20" s="411"/>
      <c r="N20" s="1734"/>
      <c r="O20" s="411"/>
      <c r="P20" s="1734"/>
      <c r="Q20" s="411"/>
      <c r="R20" s="1734"/>
      <c r="S20" s="411"/>
      <c r="T20" s="1734"/>
      <c r="U20" s="411"/>
      <c r="V20" s="1734"/>
      <c r="W20" s="411"/>
      <c r="X20" s="1734"/>
      <c r="Y20" s="1726"/>
      <c r="Z20" s="1727"/>
      <c r="AA20" s="615"/>
      <c r="AB20" s="1726"/>
      <c r="AC20" s="411"/>
      <c r="AD20" s="1734"/>
      <c r="AE20" s="264"/>
      <c r="AF20" s="1728"/>
      <c r="AG20" s="264"/>
      <c r="AJ20" s="1627"/>
      <c r="AK20" s="1627"/>
    </row>
    <row r="21" spans="1:37">
      <c r="B21" s="264"/>
      <c r="C21" s="264"/>
      <c r="D21" s="264"/>
      <c r="E21" s="264"/>
      <c r="F21" s="264"/>
      <c r="G21" s="264"/>
      <c r="H21" s="411"/>
      <c r="I21" s="411"/>
      <c r="J21" s="411"/>
      <c r="K21" s="264"/>
      <c r="L21" s="411"/>
      <c r="M21" s="411"/>
      <c r="N21" s="411"/>
      <c r="O21" s="411"/>
      <c r="P21" s="411"/>
      <c r="Q21" s="411"/>
      <c r="R21" s="411"/>
      <c r="S21" s="411"/>
      <c r="T21" s="411"/>
      <c r="U21" s="411"/>
      <c r="V21" s="411"/>
      <c r="W21" s="411"/>
      <c r="X21" s="411"/>
      <c r="Y21" s="1726"/>
      <c r="Z21" s="1727"/>
      <c r="AA21" s="264"/>
      <c r="AB21" s="1726"/>
      <c r="AC21" s="411"/>
      <c r="AD21" s="411"/>
      <c r="AE21" s="264"/>
      <c r="AF21" s="1728"/>
      <c r="AG21" s="264"/>
      <c r="AJ21" s="1627"/>
      <c r="AK21" s="1627"/>
    </row>
    <row r="22" spans="1:37" ht="15.75">
      <c r="A22" s="3" t="s">
        <v>122</v>
      </c>
      <c r="B22" s="264"/>
      <c r="C22" s="264"/>
      <c r="D22" s="264"/>
      <c r="E22" s="264"/>
      <c r="F22" s="264"/>
      <c r="G22" s="264"/>
      <c r="H22" s="411"/>
      <c r="I22" s="411"/>
      <c r="J22" s="411"/>
      <c r="K22" s="264"/>
      <c r="L22" s="411"/>
      <c r="M22" s="411"/>
      <c r="N22" s="411"/>
      <c r="O22" s="411"/>
      <c r="P22" s="411"/>
      <c r="Q22" s="411"/>
      <c r="R22" s="411"/>
      <c r="S22" s="411"/>
      <c r="T22" s="411"/>
      <c r="U22" s="411"/>
      <c r="V22" s="411"/>
      <c r="W22" s="411"/>
      <c r="X22" s="411"/>
      <c r="Y22" s="1726"/>
      <c r="Z22" s="1727"/>
      <c r="AA22" s="264"/>
      <c r="AB22" s="1726"/>
      <c r="AC22" s="411"/>
      <c r="AD22" s="411"/>
      <c r="AE22" s="264"/>
      <c r="AF22" s="1728"/>
      <c r="AG22" s="264"/>
      <c r="AJ22" s="1627"/>
      <c r="AK22" s="1627"/>
    </row>
    <row r="23" spans="1:37">
      <c r="A23" s="291" t="s">
        <v>453</v>
      </c>
      <c r="B23" s="275"/>
      <c r="C23" s="264"/>
      <c r="D23" s="264"/>
      <c r="E23" s="264"/>
      <c r="F23" s="264"/>
      <c r="G23" s="264"/>
      <c r="H23" s="411"/>
      <c r="I23" s="411"/>
      <c r="J23" s="411"/>
      <c r="K23" s="264"/>
      <c r="L23" s="411"/>
      <c r="M23" s="411"/>
      <c r="N23" s="411"/>
      <c r="O23" s="411"/>
      <c r="P23" s="411"/>
      <c r="Q23" s="411"/>
      <c r="R23" s="411"/>
      <c r="S23" s="411"/>
      <c r="T23" s="411"/>
      <c r="U23" s="411"/>
      <c r="V23" s="411"/>
      <c r="W23" s="411"/>
      <c r="X23" s="411"/>
      <c r="Y23" s="1726"/>
      <c r="Z23" s="1727"/>
      <c r="AA23" s="275"/>
      <c r="AB23" s="1735"/>
      <c r="AC23" s="1736"/>
      <c r="AD23" s="411"/>
      <c r="AE23" s="275"/>
      <c r="AF23" s="402"/>
      <c r="AG23" s="264"/>
      <c r="AJ23" s="1627"/>
      <c r="AK23" s="1627"/>
    </row>
    <row r="24" spans="1:37">
      <c r="A24" s="291" t="s">
        <v>592</v>
      </c>
      <c r="B24" s="287">
        <v>0.1</v>
      </c>
      <c r="C24" s="264"/>
      <c r="D24" s="287">
        <v>0</v>
      </c>
      <c r="E24" s="264"/>
      <c r="F24" s="287">
        <f>$AA24-D24-B24</f>
        <v>0.1</v>
      </c>
      <c r="G24" s="264"/>
      <c r="H24" s="287"/>
      <c r="I24" s="411"/>
      <c r="J24" s="287"/>
      <c r="K24" s="264"/>
      <c r="L24" s="287"/>
      <c r="M24" s="411"/>
      <c r="N24" s="287"/>
      <c r="O24" s="411"/>
      <c r="P24" s="288"/>
      <c r="Q24" s="288"/>
      <c r="R24" s="288"/>
      <c r="S24" s="288"/>
      <c r="T24" s="288"/>
      <c r="U24" s="288"/>
      <c r="V24" s="288"/>
      <c r="W24" s="288"/>
      <c r="X24" s="288"/>
      <c r="Y24" s="1726"/>
      <c r="Z24" s="1727"/>
      <c r="AA24" s="531">
        <v>0.2</v>
      </c>
      <c r="AB24" s="264"/>
      <c r="AC24" s="524" t="s">
        <v>103</v>
      </c>
      <c r="AD24" s="531">
        <v>0.1</v>
      </c>
      <c r="AE24" s="289"/>
      <c r="AF24" s="402"/>
      <c r="AG24" s="264">
        <f>ROUND(SUM(AA24-AD24),1)</f>
        <v>0.1</v>
      </c>
      <c r="AI24" s="1580">
        <f>ROUND(IF(AD24=0,1,AG24/ABS(AD24)),3)</f>
        <v>1</v>
      </c>
      <c r="AJ24" s="1627"/>
      <c r="AK24" s="1627"/>
    </row>
    <row r="25" spans="1:37">
      <c r="A25" s="412" t="s">
        <v>510</v>
      </c>
      <c r="B25" s="287">
        <v>0</v>
      </c>
      <c r="C25" s="264"/>
      <c r="D25" s="287">
        <v>0</v>
      </c>
      <c r="E25" s="264"/>
      <c r="F25" s="287">
        <f t="shared" ref="F25:F26" si="1">$AA25-D25-B25</f>
        <v>0</v>
      </c>
      <c r="G25" s="264"/>
      <c r="H25" s="287"/>
      <c r="I25" s="411"/>
      <c r="J25" s="287"/>
      <c r="K25" s="264"/>
      <c r="L25" s="287"/>
      <c r="M25" s="411"/>
      <c r="N25" s="287"/>
      <c r="O25" s="411"/>
      <c r="P25" s="288"/>
      <c r="Q25" s="411"/>
      <c r="R25" s="288"/>
      <c r="S25" s="411"/>
      <c r="T25" s="288"/>
      <c r="U25" s="411"/>
      <c r="V25" s="288"/>
      <c r="W25" s="411"/>
      <c r="X25" s="288"/>
      <c r="Y25" s="1726"/>
      <c r="Z25" s="1727"/>
      <c r="AA25" s="531">
        <v>0</v>
      </c>
      <c r="AB25" s="264"/>
      <c r="AC25" s="524" t="s">
        <v>103</v>
      </c>
      <c r="AD25" s="531">
        <v>0</v>
      </c>
      <c r="AE25" s="275"/>
      <c r="AF25" s="402"/>
      <c r="AG25" s="264">
        <f>ROUND(SUM(AA25-AD25),1)</f>
        <v>0</v>
      </c>
      <c r="AH25" s="1559"/>
      <c r="AI25" s="1580">
        <f>ROUND(IF(AD25=0,0,AG25/ABS(AD25)),3)</f>
        <v>0</v>
      </c>
      <c r="AJ25" s="1627"/>
      <c r="AK25" s="1627"/>
    </row>
    <row r="26" spans="1:37" s="10" customFormat="1">
      <c r="A26" s="291" t="s">
        <v>456</v>
      </c>
      <c r="B26" s="287">
        <v>0</v>
      </c>
      <c r="C26" s="264"/>
      <c r="D26" s="287">
        <v>0</v>
      </c>
      <c r="E26" s="264"/>
      <c r="F26" s="287">
        <f t="shared" si="1"/>
        <v>0.1</v>
      </c>
      <c r="G26" s="264"/>
      <c r="H26" s="264"/>
      <c r="I26" s="264"/>
      <c r="J26" s="287"/>
      <c r="K26" s="264"/>
      <c r="L26" s="287"/>
      <c r="M26" s="264"/>
      <c r="N26" s="287"/>
      <c r="O26" s="264"/>
      <c r="P26" s="288"/>
      <c r="Q26" s="264"/>
      <c r="R26" s="288"/>
      <c r="S26" s="264"/>
      <c r="T26" s="288"/>
      <c r="U26" s="264"/>
      <c r="V26" s="288"/>
      <c r="W26" s="264"/>
      <c r="X26" s="288"/>
      <c r="Y26" s="264"/>
      <c r="Z26" s="523"/>
      <c r="AA26" s="531">
        <v>0.1</v>
      </c>
      <c r="AB26" s="264"/>
      <c r="AC26" s="524" t="s">
        <v>103</v>
      </c>
      <c r="AD26" s="531">
        <v>0.1</v>
      </c>
      <c r="AE26" s="264"/>
      <c r="AF26" s="1728"/>
      <c r="AG26" s="382">
        <f>ROUND(SUM(AA26-AD26),1)</f>
        <v>0</v>
      </c>
      <c r="AH26" s="291"/>
      <c r="AI26" s="1578">
        <f>ROUND(IF(AD26=0,0,AG26/ABS(AD26)),3)</f>
        <v>0</v>
      </c>
      <c r="AJ26" s="1627"/>
      <c r="AK26" s="1628"/>
    </row>
    <row r="27" spans="1:37" s="10" customFormat="1" ht="15.75">
      <c r="A27" s="291"/>
      <c r="B27" s="615"/>
      <c r="C27" s="264"/>
      <c r="D27" s="615"/>
      <c r="E27" s="264"/>
      <c r="F27" s="615"/>
      <c r="G27" s="264"/>
      <c r="H27" s="615"/>
      <c r="I27" s="264"/>
      <c r="J27" s="615"/>
      <c r="K27" s="264"/>
      <c r="L27" s="615"/>
      <c r="M27" s="264"/>
      <c r="N27" s="615"/>
      <c r="O27" s="264"/>
      <c r="P27" s="615"/>
      <c r="Q27" s="264"/>
      <c r="R27" s="615"/>
      <c r="S27" s="264"/>
      <c r="T27" s="615"/>
      <c r="U27" s="264"/>
      <c r="V27" s="615"/>
      <c r="W27" s="264"/>
      <c r="X27" s="615"/>
      <c r="Y27" s="264"/>
      <c r="Z27" s="523"/>
      <c r="AA27" s="615"/>
      <c r="AB27" s="1232"/>
      <c r="AC27" s="264"/>
      <c r="AD27" s="615"/>
      <c r="AE27" s="26"/>
      <c r="AF27" s="402"/>
      <c r="AG27" s="264"/>
      <c r="AH27" s="268"/>
      <c r="AI27" s="1562"/>
      <c r="AJ27" s="1627"/>
      <c r="AK27" s="1628"/>
    </row>
    <row r="28" spans="1:37" s="10" customFormat="1" ht="15.75">
      <c r="A28" s="3" t="s">
        <v>457</v>
      </c>
      <c r="B28" s="13">
        <f>ROUND(SUM(B24:B26),1)</f>
        <v>0.1</v>
      </c>
      <c r="C28" s="13"/>
      <c r="D28" s="13">
        <f>ROUND(SUM(D24:D26),1)</f>
        <v>0</v>
      </c>
      <c r="E28" s="13"/>
      <c r="F28" s="13">
        <f>ROUND(SUM(F24:F26),1)</f>
        <v>0.2</v>
      </c>
      <c r="G28" s="13"/>
      <c r="H28" s="13">
        <f>ROUND(SUM(H24:H26),1)</f>
        <v>0</v>
      </c>
      <c r="I28" s="13"/>
      <c r="J28" s="13">
        <f>ROUND(SUM(J24:J26),1)</f>
        <v>0</v>
      </c>
      <c r="K28" s="13"/>
      <c r="L28" s="13">
        <f>ROUND(SUM(L24:L26),1)</f>
        <v>0</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0.3</v>
      </c>
      <c r="AB28" s="1234"/>
      <c r="AC28" s="13"/>
      <c r="AD28" s="13">
        <f>ROUND(SUM(AD24:AD26),1)</f>
        <v>0.2</v>
      </c>
      <c r="AE28" s="264"/>
      <c r="AF28" s="1737"/>
      <c r="AG28" s="357">
        <f>ROUND(SUM(AG24:AG26),1)</f>
        <v>0.1</v>
      </c>
      <c r="AH28" s="40"/>
      <c r="AI28" s="1565">
        <f>ROUND(IF(AD28=0,1,AG28/ABS(AD28)),3)</f>
        <v>0.5</v>
      </c>
      <c r="AJ28" s="1627"/>
      <c r="AK28" s="1628"/>
    </row>
    <row r="29" spans="1:37" s="10" customFormat="1">
      <c r="A29" s="291"/>
      <c r="B29" s="615"/>
      <c r="C29" s="264"/>
      <c r="D29" s="615"/>
      <c r="E29" s="264"/>
      <c r="F29" s="615"/>
      <c r="G29" s="264"/>
      <c r="H29" s="615"/>
      <c r="I29" s="264"/>
      <c r="J29" s="615"/>
      <c r="K29" s="264"/>
      <c r="L29" s="615"/>
      <c r="M29" s="264"/>
      <c r="N29" s="615"/>
      <c r="O29" s="264"/>
      <c r="P29" s="615"/>
      <c r="Q29" s="264"/>
      <c r="R29" s="615"/>
      <c r="S29" s="264"/>
      <c r="T29" s="615"/>
      <c r="U29" s="264"/>
      <c r="V29" s="615"/>
      <c r="W29" s="264"/>
      <c r="X29" s="615"/>
      <c r="Y29" s="264"/>
      <c r="Z29" s="523"/>
      <c r="AA29" s="615"/>
      <c r="AB29" s="1232"/>
      <c r="AC29" s="264"/>
      <c r="AD29" s="615"/>
      <c r="AE29" s="264"/>
      <c r="AF29" s="1737"/>
      <c r="AG29" s="264"/>
      <c r="AH29" s="291"/>
      <c r="AI29" s="291"/>
      <c r="AJ29" s="1627"/>
      <c r="AK29" s="1628"/>
    </row>
    <row r="30" spans="1:37">
      <c r="B30" s="264"/>
      <c r="C30" s="264"/>
      <c r="D30" s="264"/>
      <c r="E30" s="264"/>
      <c r="F30" s="264"/>
      <c r="G30" s="264"/>
      <c r="H30" s="411"/>
      <c r="I30" s="411"/>
      <c r="J30" s="411"/>
      <c r="K30" s="264"/>
      <c r="L30" s="411"/>
      <c r="M30" s="411"/>
      <c r="N30" s="411"/>
      <c r="O30" s="411"/>
      <c r="P30" s="411"/>
      <c r="Q30" s="411"/>
      <c r="R30" s="411"/>
      <c r="S30" s="411"/>
      <c r="T30" s="411"/>
      <c r="U30" s="411"/>
      <c r="V30" s="411"/>
      <c r="W30" s="411"/>
      <c r="X30" s="411"/>
      <c r="Y30" s="1726"/>
      <c r="Z30" s="1727"/>
      <c r="AA30" s="264"/>
      <c r="AB30" s="1726"/>
      <c r="AC30" s="411"/>
      <c r="AD30" s="264"/>
      <c r="AE30" s="264"/>
      <c r="AF30" s="1728"/>
      <c r="AG30" s="264"/>
      <c r="AJ30" s="1715"/>
      <c r="AK30" s="1715"/>
    </row>
    <row r="31" spans="1:37" ht="15.75">
      <c r="A31" s="3" t="s">
        <v>458</v>
      </c>
      <c r="B31" s="264"/>
      <c r="C31" s="264"/>
      <c r="D31" s="264"/>
      <c r="E31" s="264"/>
      <c r="F31" s="264"/>
      <c r="G31" s="264"/>
      <c r="H31" s="411"/>
      <c r="I31" s="411"/>
      <c r="J31" s="411"/>
      <c r="K31" s="264"/>
      <c r="L31" s="411"/>
      <c r="M31" s="411"/>
      <c r="N31" s="411"/>
      <c r="O31" s="411"/>
      <c r="P31" s="411"/>
      <c r="Q31" s="411"/>
      <c r="R31" s="411"/>
      <c r="S31" s="411"/>
      <c r="T31" s="411"/>
      <c r="U31" s="411"/>
      <c r="V31" s="411"/>
      <c r="W31" s="411"/>
      <c r="X31" s="411"/>
      <c r="Y31" s="1726"/>
      <c r="Z31" s="1727"/>
      <c r="AA31" s="264"/>
      <c r="AB31" s="1726"/>
      <c r="AC31" s="411"/>
      <c r="AD31" s="411"/>
      <c r="AE31" s="264"/>
      <c r="AF31" s="1728"/>
      <c r="AG31" s="264"/>
      <c r="AJ31" s="1627"/>
      <c r="AK31" s="1627"/>
    </row>
    <row r="32" spans="1:37" ht="15.75">
      <c r="A32" s="3" t="s">
        <v>144</v>
      </c>
      <c r="B32" s="1738">
        <f>ROUND(B19-B28,1)</f>
        <v>0.2</v>
      </c>
      <c r="C32" s="13"/>
      <c r="D32" s="1738">
        <f>ROUND(D19-D28,1)</f>
        <v>0</v>
      </c>
      <c r="E32" s="17"/>
      <c r="F32" s="1738">
        <f>ROUND(F19-F28,1)</f>
        <v>0.1</v>
      </c>
      <c r="G32" s="17"/>
      <c r="H32" s="1738">
        <f>ROUND(H19-H28,1)</f>
        <v>0</v>
      </c>
      <c r="I32" s="17"/>
      <c r="J32" s="1738">
        <f>ROUND(J19-J28,1)</f>
        <v>0</v>
      </c>
      <c r="K32" s="17"/>
      <c r="L32" s="1738">
        <f>ROUND(L19-L28,1)</f>
        <v>0</v>
      </c>
      <c r="M32" s="1739"/>
      <c r="N32" s="1738">
        <f>ROUND(N19-N28,1)</f>
        <v>0</v>
      </c>
      <c r="O32" s="1739"/>
      <c r="P32" s="1738">
        <f>ROUND(P19-P28,1)</f>
        <v>0</v>
      </c>
      <c r="Q32" s="26"/>
      <c r="R32" s="1738">
        <f>ROUND(R19-R28,1)</f>
        <v>0</v>
      </c>
      <c r="S32" s="1739"/>
      <c r="T32" s="1738">
        <f>ROUND(T19-T28,1)</f>
        <v>0</v>
      </c>
      <c r="U32" s="1739"/>
      <c r="V32" s="1738">
        <f>ROUND(V19-V28,1)</f>
        <v>0</v>
      </c>
      <c r="W32" s="1739"/>
      <c r="X32" s="1738">
        <f>ROUND(X19-X28,1)</f>
        <v>0</v>
      </c>
      <c r="Y32" s="1731"/>
      <c r="Z32" s="1732"/>
      <c r="AA32" s="1738">
        <f>ROUND(AA19-AA28,1)</f>
        <v>0.3</v>
      </c>
      <c r="AB32" s="1731"/>
      <c r="AC32" s="1730"/>
      <c r="AD32" s="1738">
        <f>ROUND(AD19-AD28,1)</f>
        <v>0.6</v>
      </c>
      <c r="AE32" s="26"/>
      <c r="AF32" s="402"/>
      <c r="AG32" s="1740">
        <f>ROUND(SUM(AG19-AG28),1)</f>
        <v>-0.3</v>
      </c>
      <c r="AH32" s="40"/>
      <c r="AI32" s="1741">
        <f>ROUND(IF(AD32=0,1,AG32/ABS(AD32)),3)</f>
        <v>-0.5</v>
      </c>
      <c r="AJ32" s="1627"/>
      <c r="AK32" s="1627"/>
    </row>
    <row r="33" spans="1:37">
      <c r="B33" s="264"/>
      <c r="C33" s="264"/>
      <c r="D33" s="264"/>
      <c r="E33" s="264"/>
      <c r="F33" s="264"/>
      <c r="G33" s="264"/>
      <c r="H33" s="411"/>
      <c r="I33" s="411"/>
      <c r="J33" s="411"/>
      <c r="K33" s="264"/>
      <c r="L33" s="411"/>
      <c r="M33" s="411"/>
      <c r="N33" s="411"/>
      <c r="O33" s="411"/>
      <c r="P33" s="411"/>
      <c r="Q33" s="411"/>
      <c r="R33" s="411"/>
      <c r="S33" s="411"/>
      <c r="T33" s="411"/>
      <c r="U33" s="411"/>
      <c r="V33" s="411"/>
      <c r="W33" s="411"/>
      <c r="X33" s="1734"/>
      <c r="Y33" s="1726"/>
      <c r="Z33" s="1727"/>
      <c r="AA33" s="264"/>
      <c r="AB33" s="1726"/>
      <c r="AC33" s="411"/>
      <c r="AD33" s="411"/>
      <c r="AE33" s="264"/>
      <c r="AF33" s="1737"/>
      <c r="AG33" s="264"/>
      <c r="AJ33" s="1627"/>
      <c r="AK33" s="1627"/>
    </row>
    <row r="34" spans="1:37">
      <c r="B34" s="264"/>
      <c r="C34" s="264"/>
      <c r="D34" s="264"/>
      <c r="E34" s="264"/>
      <c r="F34" s="264"/>
      <c r="G34" s="264"/>
      <c r="H34" s="411"/>
      <c r="I34" s="411"/>
      <c r="J34" s="411"/>
      <c r="K34" s="264"/>
      <c r="L34" s="411"/>
      <c r="M34" s="411"/>
      <c r="N34" s="411"/>
      <c r="O34" s="411"/>
      <c r="P34" s="411"/>
      <c r="Q34" s="411"/>
      <c r="R34" s="411"/>
      <c r="S34" s="411"/>
      <c r="T34" s="411"/>
      <c r="U34" s="411"/>
      <c r="V34" s="411"/>
      <c r="W34" s="411"/>
      <c r="X34" s="411"/>
      <c r="Y34" s="1726"/>
      <c r="Z34" s="1727"/>
      <c r="AA34" s="264"/>
      <c r="AB34" s="1726"/>
      <c r="AC34" s="411"/>
      <c r="AD34" s="411"/>
      <c r="AE34" s="264"/>
      <c r="AF34" s="1737"/>
      <c r="AG34" s="264"/>
      <c r="AJ34" s="1627"/>
      <c r="AK34" s="1627"/>
    </row>
    <row r="35" spans="1:37" ht="15.75">
      <c r="A35" s="3" t="s">
        <v>145</v>
      </c>
      <c r="B35" s="264"/>
      <c r="C35" s="264"/>
      <c r="D35" s="264"/>
      <c r="E35" s="264"/>
      <c r="F35" s="264"/>
      <c r="G35" s="264"/>
      <c r="H35" s="411"/>
      <c r="I35" s="411"/>
      <c r="J35" s="411"/>
      <c r="K35" s="264"/>
      <c r="L35" s="411"/>
      <c r="M35" s="411"/>
      <c r="N35" s="411"/>
      <c r="O35" s="411"/>
      <c r="P35" s="411"/>
      <c r="Q35" s="411"/>
      <c r="R35" s="411"/>
      <c r="S35" s="411"/>
      <c r="T35" s="411"/>
      <c r="U35" s="411"/>
      <c r="V35" s="411"/>
      <c r="W35" s="411"/>
      <c r="X35" s="411"/>
      <c r="Y35" s="1726"/>
      <c r="Z35" s="1727"/>
      <c r="AA35" s="264"/>
      <c r="AB35" s="1726"/>
      <c r="AC35" s="411"/>
      <c r="AD35" s="411"/>
      <c r="AE35" s="264"/>
      <c r="AF35" s="1737"/>
      <c r="AG35" s="264"/>
      <c r="AJ35" s="1627"/>
      <c r="AK35" s="1627"/>
    </row>
    <row r="36" spans="1:37">
      <c r="A36" s="291" t="s">
        <v>537</v>
      </c>
      <c r="B36" s="287">
        <v>0</v>
      </c>
      <c r="C36" s="264"/>
      <c r="D36" s="287">
        <v>0</v>
      </c>
      <c r="E36" s="264"/>
      <c r="F36" s="287">
        <f>$AA36-D36-B36</f>
        <v>0</v>
      </c>
      <c r="G36" s="264"/>
      <c r="H36" s="287"/>
      <c r="I36" s="411"/>
      <c r="J36" s="287"/>
      <c r="K36" s="264"/>
      <c r="L36" s="287"/>
      <c r="M36" s="411"/>
      <c r="N36" s="287"/>
      <c r="O36" s="411"/>
      <c r="P36" s="288"/>
      <c r="Q36" s="411"/>
      <c r="R36" s="288"/>
      <c r="S36" s="411"/>
      <c r="T36" s="288"/>
      <c r="U36" s="411"/>
      <c r="V36" s="288"/>
      <c r="W36" s="411"/>
      <c r="X36" s="288"/>
      <c r="Y36" s="1726"/>
      <c r="Z36" s="1727"/>
      <c r="AA36" s="531">
        <v>0</v>
      </c>
      <c r="AB36" s="264"/>
      <c r="AC36" s="524" t="s">
        <v>103</v>
      </c>
      <c r="AD36" s="531">
        <v>0</v>
      </c>
      <c r="AE36" s="275"/>
      <c r="AF36" s="1742"/>
      <c r="AG36" s="264">
        <f>ROUND(SUM(AA36-AD36),1)</f>
        <v>0</v>
      </c>
      <c r="AH36" s="1559"/>
      <c r="AI36" s="1580">
        <f>ROUND(IF(AG36=0,0,AG36/ABS(AD36)),3)</f>
        <v>0</v>
      </c>
      <c r="AJ36" s="1627"/>
      <c r="AK36" s="1627"/>
    </row>
    <row r="37" spans="1:37" s="10" customFormat="1">
      <c r="A37" s="291" t="s">
        <v>538</v>
      </c>
      <c r="B37" s="287">
        <v>0</v>
      </c>
      <c r="C37" s="264"/>
      <c r="D37" s="287">
        <v>0</v>
      </c>
      <c r="E37" s="264"/>
      <c r="F37" s="287">
        <f>$AA37-D37-B37</f>
        <v>0</v>
      </c>
      <c r="G37" s="264"/>
      <c r="H37" s="264"/>
      <c r="I37" s="264"/>
      <c r="J37" s="287"/>
      <c r="K37" s="264"/>
      <c r="L37" s="287"/>
      <c r="M37" s="264"/>
      <c r="N37" s="287"/>
      <c r="O37" s="264"/>
      <c r="P37" s="288"/>
      <c r="Q37" s="264"/>
      <c r="R37" s="288"/>
      <c r="S37" s="264"/>
      <c r="T37" s="288"/>
      <c r="U37" s="264"/>
      <c r="V37" s="288"/>
      <c r="W37" s="264"/>
      <c r="X37" s="288"/>
      <c r="Y37" s="264"/>
      <c r="Z37" s="523"/>
      <c r="AA37" s="531">
        <v>0</v>
      </c>
      <c r="AB37" s="264"/>
      <c r="AC37" s="524" t="s">
        <v>103</v>
      </c>
      <c r="AD37" s="531">
        <v>0</v>
      </c>
      <c r="AE37" s="268"/>
      <c r="AF37" s="406"/>
      <c r="AG37" s="1743">
        <f>ROUND(SUM(AA37-AD37),1)</f>
        <v>0</v>
      </c>
      <c r="AH37" s="1559"/>
      <c r="AI37" s="1024">
        <f>ROUND(IF(AG37=0,0,AG37/ABS(AD37)),3)</f>
        <v>0</v>
      </c>
      <c r="AJ37" s="1627"/>
      <c r="AK37" s="1628"/>
    </row>
    <row r="38" spans="1:37" s="10" customFormat="1">
      <c r="A38" s="291"/>
      <c r="B38" s="615"/>
      <c r="C38" s="264"/>
      <c r="D38" s="615"/>
      <c r="E38" s="264"/>
      <c r="F38" s="615"/>
      <c r="G38" s="264"/>
      <c r="H38" s="615"/>
      <c r="I38" s="264"/>
      <c r="J38" s="615"/>
      <c r="K38" s="264"/>
      <c r="L38" s="615"/>
      <c r="M38" s="264"/>
      <c r="N38" s="615"/>
      <c r="O38" s="264"/>
      <c r="P38" s="615"/>
      <c r="Q38" s="264"/>
      <c r="R38" s="615"/>
      <c r="S38" s="264"/>
      <c r="T38" s="615"/>
      <c r="U38" s="264"/>
      <c r="V38" s="615"/>
      <c r="W38" s="264"/>
      <c r="X38" s="615"/>
      <c r="Y38" s="264"/>
      <c r="Z38" s="523"/>
      <c r="AA38" s="1744"/>
      <c r="AB38" s="1232"/>
      <c r="AC38" s="264"/>
      <c r="AD38" s="1744"/>
      <c r="AE38" s="268"/>
      <c r="AF38" s="406"/>
      <c r="AG38" s="291"/>
      <c r="AH38" s="291"/>
      <c r="AI38" s="291"/>
      <c r="AJ38" s="1627"/>
      <c r="AK38" s="1628"/>
    </row>
    <row r="39" spans="1:37" s="10" customFormat="1" ht="15.75">
      <c r="A39" s="3" t="s">
        <v>587</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34"/>
      <c r="AC39" s="13"/>
      <c r="AD39" s="13">
        <f>ROUND(SUM(AD36:AD37),1)</f>
        <v>0</v>
      </c>
      <c r="AE39" s="107"/>
      <c r="AF39" s="402"/>
      <c r="AG39" s="357">
        <f>ROUND(SUM(AG36-AG37),1)</f>
        <v>0</v>
      </c>
      <c r="AH39" s="52"/>
      <c r="AI39" s="1565">
        <f>ROUND(IF(AG39=0,0,AG39/ABS(AD39)),3)</f>
        <v>0</v>
      </c>
      <c r="AJ39" s="1627"/>
      <c r="AK39" s="1628"/>
    </row>
    <row r="40" spans="1:37" s="10" customFormat="1">
      <c r="A40" s="291"/>
      <c r="B40" s="615"/>
      <c r="C40" s="264"/>
      <c r="D40" s="615" t="s">
        <v>103</v>
      </c>
      <c r="E40" s="264"/>
      <c r="F40" s="615"/>
      <c r="G40" s="264"/>
      <c r="H40" s="615"/>
      <c r="I40" s="264"/>
      <c r="J40" s="615"/>
      <c r="K40" s="264"/>
      <c r="L40" s="615"/>
      <c r="M40" s="264"/>
      <c r="N40" s="615"/>
      <c r="O40" s="264"/>
      <c r="P40" s="615"/>
      <c r="Q40" s="264"/>
      <c r="R40" s="615"/>
      <c r="S40" s="264"/>
      <c r="T40" s="615"/>
      <c r="U40" s="264"/>
      <c r="V40" s="615"/>
      <c r="W40" s="264"/>
      <c r="X40" s="615"/>
      <c r="Y40" s="264"/>
      <c r="Z40" s="523"/>
      <c r="AA40" s="615"/>
      <c r="AB40" s="1232"/>
      <c r="AC40" s="264"/>
      <c r="AD40" s="615"/>
      <c r="AE40" s="268"/>
      <c r="AF40" s="406"/>
      <c r="AG40" s="291"/>
      <c r="AH40" s="291"/>
      <c r="AI40" s="291"/>
      <c r="AJ40" s="1627"/>
      <c r="AK40" s="1628"/>
    </row>
    <row r="41" spans="1:37" s="10" customFormat="1">
      <c r="A41" s="291"/>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523"/>
      <c r="AA41" s="264"/>
      <c r="AB41" s="1232"/>
      <c r="AC41" s="264"/>
      <c r="AD41" s="264"/>
      <c r="AE41" s="268"/>
      <c r="AF41" s="406"/>
      <c r="AG41" s="291"/>
      <c r="AH41" s="291"/>
      <c r="AI41" s="291"/>
      <c r="AJ41" s="1627"/>
      <c r="AK41" s="1628"/>
    </row>
    <row r="42" spans="1:37" ht="15.75">
      <c r="A42" s="3" t="s">
        <v>469</v>
      </c>
      <c r="B42" s="264"/>
      <c r="C42" s="264"/>
      <c r="D42" s="264" t="s">
        <v>103</v>
      </c>
      <c r="E42" s="264"/>
      <c r="F42" s="264"/>
      <c r="G42" s="264"/>
      <c r="H42" s="411"/>
      <c r="I42" s="411"/>
      <c r="J42" s="411"/>
      <c r="K42" s="264"/>
      <c r="L42" s="411"/>
      <c r="M42" s="411"/>
      <c r="N42" s="411"/>
      <c r="O42" s="411"/>
      <c r="P42" s="411"/>
      <c r="Q42" s="411"/>
      <c r="R42" s="411"/>
      <c r="S42" s="411"/>
      <c r="T42" s="411"/>
      <c r="U42" s="411"/>
      <c r="V42" s="411"/>
      <c r="W42" s="411"/>
      <c r="X42" s="411"/>
      <c r="Y42" s="1726"/>
      <c r="Z42" s="1727"/>
      <c r="AA42" s="264"/>
      <c r="AB42" s="1726"/>
      <c r="AC42" s="411"/>
      <c r="AD42" s="264"/>
      <c r="AE42" s="264"/>
      <c r="AF42" s="1728"/>
      <c r="AG42" s="264"/>
      <c r="AJ42" s="1627"/>
      <c r="AK42" s="1627"/>
    </row>
    <row r="43" spans="1:37" ht="15.75">
      <c r="A43" s="3" t="s">
        <v>594</v>
      </c>
      <c r="B43" s="264"/>
      <c r="C43" s="264"/>
      <c r="D43" s="264"/>
      <c r="E43" s="264"/>
      <c r="F43" s="264"/>
      <c r="G43" s="264"/>
      <c r="H43" s="411"/>
      <c r="I43" s="411"/>
      <c r="J43" s="411"/>
      <c r="K43" s="264"/>
      <c r="L43" s="411"/>
      <c r="M43" s="411"/>
      <c r="N43" s="411"/>
      <c r="O43" s="411"/>
      <c r="P43" s="411"/>
      <c r="Q43" s="411"/>
      <c r="R43" s="411"/>
      <c r="S43" s="411"/>
      <c r="T43" s="18"/>
      <c r="U43" s="411"/>
      <c r="V43" s="18"/>
      <c r="W43" s="411"/>
      <c r="X43" s="411"/>
      <c r="Y43" s="1726"/>
      <c r="Z43" s="1727"/>
      <c r="AA43" s="264"/>
      <c r="AB43" s="1726"/>
      <c r="AC43" s="411"/>
      <c r="AD43" s="18"/>
      <c r="AE43" s="18"/>
      <c r="AF43" s="406"/>
      <c r="AG43" s="264"/>
      <c r="AJ43" s="1627"/>
      <c r="AK43" s="1627"/>
    </row>
    <row r="44" spans="1:37" s="3" customFormat="1" ht="15.75">
      <c r="A44" s="3" t="s">
        <v>471</v>
      </c>
      <c r="B44" s="1738">
        <f>ROUND(B32+B39,1)</f>
        <v>0.2</v>
      </c>
      <c r="C44" s="13"/>
      <c r="D44" s="1738">
        <f>ROUND(D32+D39,1)</f>
        <v>0</v>
      </c>
      <c r="E44" s="18"/>
      <c r="F44" s="1738">
        <f>ROUND(F32+F39,1)</f>
        <v>0.1</v>
      </c>
      <c r="G44" s="18"/>
      <c r="H44" s="1738">
        <f>ROUND(H32+H39,1)</f>
        <v>0</v>
      </c>
      <c r="I44" s="1745"/>
      <c r="J44" s="1738">
        <f>ROUND(J32+J39,1)</f>
        <v>0</v>
      </c>
      <c r="K44" s="18"/>
      <c r="L44" s="1738">
        <f>ROUND(L32+L39,1)</f>
        <v>0</v>
      </c>
      <c r="M44" s="26"/>
      <c r="N44" s="1738">
        <f>ROUND(N32+N39,1)</f>
        <v>0</v>
      </c>
      <c r="O44" s="26"/>
      <c r="P44" s="1738">
        <f>ROUND(P32+P39,1)</f>
        <v>0</v>
      </c>
      <c r="Q44" s="26"/>
      <c r="R44" s="1738">
        <f>ROUND(R32+R39,1)</f>
        <v>0</v>
      </c>
      <c r="S44" s="1745"/>
      <c r="T44" s="1738">
        <f>ROUND(T32+T39,1)</f>
        <v>0</v>
      </c>
      <c r="U44" s="1745"/>
      <c r="V44" s="1738">
        <f>ROUND(V32+V39,1)</f>
        <v>0</v>
      </c>
      <c r="W44" s="1745"/>
      <c r="X44" s="1738">
        <f>ROUND(X32+X39,1)</f>
        <v>0</v>
      </c>
      <c r="Y44" s="1731"/>
      <c r="Z44" s="1732"/>
      <c r="AA44" s="1738">
        <f>ROUND(AA32+AA39,1)</f>
        <v>0.3</v>
      </c>
      <c r="AB44" s="13"/>
      <c r="AC44" s="669"/>
      <c r="AD44" s="1738">
        <f>ROUND(AD32+AD39,1)</f>
        <v>0.6</v>
      </c>
      <c r="AE44" s="26"/>
      <c r="AF44" s="92"/>
      <c r="AG44" s="1740">
        <f>ROUND(SUM(AG32+AG39),1)</f>
        <v>-0.3</v>
      </c>
      <c r="AH44" s="291"/>
      <c r="AI44" s="1746">
        <f>ROUND(IF(AD44=0,1,AG44/ABS(AD44)),3)</f>
        <v>-0.5</v>
      </c>
      <c r="AJ44" s="1716"/>
      <c r="AK44" s="1716"/>
    </row>
    <row r="45" spans="1:37" s="3" customFormat="1" ht="15.75">
      <c r="B45" s="26"/>
      <c r="C45" s="13"/>
      <c r="D45" s="26"/>
      <c r="E45" s="18"/>
      <c r="F45" s="26"/>
      <c r="G45" s="18"/>
      <c r="H45" s="26"/>
      <c r="I45" s="1745"/>
      <c r="J45" s="26"/>
      <c r="K45" s="18"/>
      <c r="L45" s="26"/>
      <c r="M45" s="26"/>
      <c r="N45" s="26"/>
      <c r="O45" s="26"/>
      <c r="P45" s="26"/>
      <c r="Q45" s="26"/>
      <c r="R45" s="26"/>
      <c r="S45" s="1745"/>
      <c r="T45" s="26"/>
      <c r="U45" s="1745"/>
      <c r="V45" s="26"/>
      <c r="W45" s="1745"/>
      <c r="X45" s="26"/>
      <c r="Y45" s="1731"/>
      <c r="Z45" s="1732"/>
      <c r="AA45" s="26"/>
      <c r="AB45" s="13"/>
      <c r="AC45" s="669"/>
      <c r="AD45" s="26"/>
      <c r="AE45" s="26"/>
      <c r="AF45" s="92"/>
      <c r="AG45" s="13"/>
      <c r="AH45" s="291"/>
      <c r="AI45" s="543"/>
      <c r="AJ45" s="1716"/>
      <c r="AK45" s="1716"/>
    </row>
    <row r="46" spans="1:37" ht="16.5" thickBot="1">
      <c r="A46" s="3" t="s">
        <v>433</v>
      </c>
      <c r="B46" s="1747">
        <f>ROUND(SUM(B14,B44),1)</f>
        <v>46.8</v>
      </c>
      <c r="C46" s="20"/>
      <c r="D46" s="1747">
        <f>ROUND(SUM(D14,D44),1)</f>
        <v>46.8</v>
      </c>
      <c r="E46" s="20"/>
      <c r="F46" s="1747">
        <f>ROUND(SUM(F14,F44),1)</f>
        <v>46.9</v>
      </c>
      <c r="G46" s="20"/>
      <c r="H46" s="20">
        <f>ROUND(SUM(H14,H44),1)</f>
        <v>0</v>
      </c>
      <c r="I46" s="1717"/>
      <c r="J46" s="20">
        <f>ROUND(SUM(J14,J44),1)</f>
        <v>0</v>
      </c>
      <c r="K46" s="20"/>
      <c r="L46" s="20">
        <f>ROUND(SUM(L14,L44),1)</f>
        <v>0</v>
      </c>
      <c r="M46" s="20"/>
      <c r="N46" s="20">
        <f>ROUND(SUM(N14,N44),1)</f>
        <v>0</v>
      </c>
      <c r="O46" s="20"/>
      <c r="P46" s="20">
        <f>ROUND(SUM(P14,P44),1)</f>
        <v>0</v>
      </c>
      <c r="Q46" s="20"/>
      <c r="R46" s="20">
        <f>ROUND(SUM(R14,R44),1)</f>
        <v>0</v>
      </c>
      <c r="S46" s="1717"/>
      <c r="T46" s="20">
        <f>ROUND(SUM(T14,T44),1)</f>
        <v>0</v>
      </c>
      <c r="U46" s="1717"/>
      <c r="V46" s="20">
        <f>ROUND(SUM(V14,V44),1)</f>
        <v>0</v>
      </c>
      <c r="W46" s="1717"/>
      <c r="X46" s="20">
        <f>ROUND(SUM(X14,X44),1)</f>
        <v>0</v>
      </c>
      <c r="Y46" s="1718"/>
      <c r="Z46" s="1719"/>
      <c r="AA46" s="20">
        <f>ROUND(SUM(AA14,AA44),1)</f>
        <v>46.9</v>
      </c>
      <c r="AB46" s="20"/>
      <c r="AC46" s="1109"/>
      <c r="AD46" s="1531">
        <f>ROUND(SUM(AD14,AD44),1)</f>
        <v>45.3</v>
      </c>
      <c r="AE46" s="20"/>
      <c r="AF46" s="403"/>
      <c r="AG46" s="1531">
        <f>ROUND(SUM(AA46-AD46),1)</f>
        <v>1.6</v>
      </c>
      <c r="AH46" s="379"/>
      <c r="AI46" s="1748">
        <f>ROUND(IF(AG46=0,0,AG46/ABS(AD46)),3)</f>
        <v>3.5000000000000003E-2</v>
      </c>
      <c r="AJ46" s="1627"/>
      <c r="AK46" s="1627"/>
    </row>
    <row r="47" spans="1:37" ht="15.75" thickTop="1">
      <c r="A47" s="291" t="s">
        <v>103</v>
      </c>
      <c r="B47" s="1749"/>
      <c r="C47" s="268"/>
      <c r="D47" s="1749"/>
      <c r="E47" s="268"/>
      <c r="F47" s="1749"/>
      <c r="G47" s="268"/>
      <c r="H47" s="1749"/>
      <c r="I47" s="268"/>
      <c r="J47" s="1749"/>
      <c r="K47" s="268"/>
      <c r="L47" s="1749"/>
      <c r="M47" s="268"/>
      <c r="N47" s="1749"/>
      <c r="O47" s="268"/>
      <c r="P47" s="1749"/>
      <c r="Q47" s="268"/>
      <c r="R47" s="1749"/>
      <c r="S47" s="268"/>
      <c r="T47" s="1749"/>
      <c r="U47" s="268"/>
      <c r="V47" s="1749"/>
      <c r="W47" s="268"/>
      <c r="X47" s="1749"/>
      <c r="Y47" s="268"/>
      <c r="Z47" s="268"/>
      <c r="AA47" s="1750"/>
      <c r="AB47" s="268"/>
      <c r="AC47" s="268"/>
      <c r="AD47" s="268"/>
      <c r="AE47" s="268"/>
      <c r="AF47" s="268"/>
    </row>
    <row r="48" spans="1:3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4"/>
      <c r="AB48" s="268"/>
      <c r="AC48" s="268"/>
      <c r="AD48" s="268"/>
      <c r="AE48" s="268"/>
      <c r="AF48" s="268"/>
    </row>
    <row r="49" spans="1:32">
      <c r="A49" s="350"/>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4"/>
      <c r="AB49" s="268"/>
      <c r="AC49" s="268"/>
      <c r="AD49" s="268"/>
      <c r="AE49" s="268"/>
      <c r="AF49" s="268"/>
    </row>
    <row r="51" spans="1:32">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sheetData>
  <customSheetViews>
    <customSheetView guid="{83D69B98-1714-4D17-901F-87B47BE66947}" scale="90" showGridLines="0" fitToPage="1" printArea="1" topLeftCell="L12">
      <selection activeCell="R25" sqref="R25"/>
      <pageMargins left="0.25" right="0.25" top="0.5" bottom="0.25" header="0" footer="0.25"/>
      <printOptions horizontalCentered="1"/>
      <pageSetup firstPageNumber="37" fitToHeight="0" orientation="landscape" useFirstPageNumber="1" r:id="rId1"/>
      <headerFooter scaleWithDoc="0" alignWithMargins="0">
        <oddFooter>&amp;C&amp;8&amp;P</oddFooter>
      </headerFooter>
    </customSheetView>
    <customSheetView guid="{F9AE1502-86F7-4AAA-AE66-F6A75A634C1B}" scale="90" showGridLines="0" fitToPage="1" printArea="1" topLeftCell="A12">
      <selection activeCell="J31" sqref="J31"/>
      <pageMargins left="0.25" right="0.25" top="0.5" bottom="0.25" header="0" footer="0.25"/>
      <printOptions horizontalCentered="1"/>
      <pageSetup firstPageNumber="37" fitToHeight="0" orientation="landscape" useFirstPageNumber="1" r:id="rId2"/>
      <headerFooter scaleWithDoc="0" alignWithMargins="0">
        <oddFooter>&amp;C&amp;8&amp;P</oddFooter>
      </headerFooter>
    </customSheetView>
    <customSheetView guid="{C41E3923-0A88-49D0-AE43-0E74D386A056}" scale="90" showGridLines="0" fitToPage="1" printArea="1" topLeftCell="A12">
      <selection activeCell="J31" sqref="J31"/>
      <pageMargins left="0.25" right="0.25" top="0.5" bottom="0.25" header="0" footer="0.25"/>
      <printOptions horizontalCentered="1"/>
      <pageSetup firstPageNumber="37" fitToHeight="0" orientation="landscape" useFirstPageNumber="1" r:id="rId3"/>
      <headerFooter scaleWithDoc="0" alignWithMargins="0">
        <oddFooter>&amp;C&amp;8&amp;P</oddFooter>
      </headerFooter>
    </customSheetView>
    <customSheetView guid="{1DF171D7-3BFC-49F6-B708-0F91FCFAB6E2}" scale="90" showGridLines="0" fitToPage="1" printArea="1" topLeftCell="A12">
      <selection activeCell="J31" sqref="J31"/>
      <pageMargins left="0.25" right="0.25" top="0.5" bottom="0.25" header="0" footer="0.25"/>
      <printOptions horizontalCentered="1"/>
      <pageSetup firstPageNumber="37" fitToHeight="0" orientation="landscape" useFirstPageNumber="1" r:id="rId4"/>
      <headerFooter scaleWithDoc="0" alignWithMargins="0">
        <oddFooter>&amp;C&amp;8&amp;P</oddFooter>
      </headerFooter>
    </customSheetView>
    <customSheetView guid="{9F00D83C-7F4F-41B5-9976-8610D9EBC976}" scale="90" showGridLines="0" fitToPage="1" printArea="1" topLeftCell="A12">
      <selection activeCell="J31" sqref="J31"/>
      <pageMargins left="0.25" right="0.25" top="0.5" bottom="0.25" header="0" footer="0.25"/>
      <printOptions horizontalCentered="1"/>
      <pageSetup firstPageNumber="37" fitToHeight="0" orientation="landscape" useFirstPageNumber="1" r:id="rId5"/>
      <headerFooter scaleWithDoc="0" alignWithMargins="0">
        <oddFooter>&amp;C&amp;8&amp;P</oddFooter>
      </headerFooter>
    </customSheetView>
    <customSheetView guid="{D1467C25-646C-4F1A-9353-0E890E575522}" scale="90" showGridLines="0" fitToPage="1" printArea="1" topLeftCell="A6">
      <selection activeCell="AA24" sqref="AA24"/>
      <pageMargins left="0.25" right="0.25" top="0.5" bottom="0.25" header="0" footer="0.25"/>
      <printOptions horizontalCentered="1"/>
      <pageSetup firstPageNumber="37" fitToHeight="0" orientation="landscape" useFirstPageNumber="1" r:id="rId6"/>
      <headerFooter scaleWithDoc="0" alignWithMargins="0">
        <oddFooter>&amp;C&amp;8&amp;P</oddFooter>
      </headerFooter>
    </customSheetView>
    <customSheetView guid="{3A50DD26-AAF5-43D4-97DE-BAE3367A2F29}" scale="90" showGridLines="0" fitToPage="1" printArea="1" topLeftCell="H1">
      <selection activeCell="J31" sqref="J31"/>
      <pageMargins left="0.25" right="0.25" top="0.5" bottom="0.25" header="0" footer="0.25"/>
      <printOptions horizontalCentered="1"/>
      <pageSetup firstPageNumber="37" fitToHeight="0" orientation="landscape" useFirstPageNumber="1" r:id="rId7"/>
      <headerFooter scaleWithDoc="0" alignWithMargins="0">
        <oddFooter>&amp;C&amp;8&amp;P</oddFooter>
      </headerFooter>
    </customSheetView>
    <customSheetView guid="{C3636880-B45B-4897-94F2-F91976416934}" scale="90" showGridLines="0" fitToPage="1" printArea="1" topLeftCell="A12">
      <selection activeCell="J31" sqref="J31"/>
      <pageMargins left="0.25" right="0.25" top="0.5" bottom="0.25" header="0" footer="0.25"/>
      <printOptions horizontalCentered="1"/>
      <pageSetup firstPageNumber="37" fitToHeight="0" orientation="landscape" useFirstPageNumber="1" r:id="rId8"/>
      <headerFooter scaleWithDoc="0" alignWithMargins="0">
        <oddFooter>&amp;C&amp;8&amp;P</oddFooter>
      </headerFooter>
    </customSheetView>
  </customSheetViews>
  <mergeCells count="1">
    <mergeCell ref="Z10:AI10"/>
  </mergeCells>
  <printOptions horizontalCentered="1"/>
  <pageMargins left="0.25" right="0.25" top="0.5" bottom="0.25" header="0" footer="0.25"/>
  <pageSetup firstPageNumber="37" fitToHeight="0" orientation="landscape" useFirstPageNumber="1" r:id="rId9"/>
  <headerFooter scaleWithDoc="0" alignWithMargins="0">
    <oddFooter>&amp;C&amp;8&amp;P</oddFooter>
  </headerFooter>
  <customProperties>
    <customPr name="SheetOptions" r:id="rId10"/>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0" zoomScaleNormal="80" workbookViewId="0"/>
  </sheetViews>
  <sheetFormatPr defaultColWidth="8.88671875" defaultRowHeight="12.75"/>
  <cols>
    <col min="1" max="1" width="38.44140625" style="1343" customWidth="1"/>
    <col min="2" max="2" width="6.88671875" style="1343" customWidth="1"/>
    <col min="3" max="3" width="4.109375" style="1343" customWidth="1"/>
    <col min="4" max="4" width="13.44140625" style="1343" customWidth="1"/>
    <col min="5" max="5" width="1.109375" style="1343" customWidth="1"/>
    <col min="6" max="6" width="13.44140625" style="1343" customWidth="1"/>
    <col min="7" max="7" width="1.109375" style="1343" customWidth="1"/>
    <col min="8" max="8" width="13.44140625" style="1424" customWidth="1"/>
    <col min="9" max="9" width="1.109375" style="1343" customWidth="1"/>
    <col min="10" max="10" width="13.44140625" style="1343" customWidth="1"/>
    <col min="11" max="11" width="1.109375" style="1343" customWidth="1"/>
    <col min="12" max="12" width="13.44140625" style="1343" customWidth="1"/>
    <col min="13" max="13" width="1.109375" style="1343" customWidth="1"/>
    <col min="14" max="14" width="13.44140625" style="1343" customWidth="1"/>
    <col min="15" max="17" width="1.109375" style="1343" customWidth="1"/>
    <col min="18" max="18" width="13.44140625" style="1343" customWidth="1"/>
    <col min="19" max="19" width="1.109375" style="1343" customWidth="1"/>
    <col min="20" max="20" width="13.44140625" style="1343" customWidth="1"/>
    <col min="21" max="21" width="1.109375" style="1343" customWidth="1"/>
    <col min="22" max="22" width="0.88671875" style="1343" customWidth="1"/>
    <col min="23" max="24" width="1.109375" style="1343" customWidth="1"/>
    <col min="25" max="25" width="13.44140625" style="1343" customWidth="1"/>
    <col min="26" max="26" width="1.109375" style="1343" customWidth="1"/>
    <col min="27" max="27" width="13.44140625" style="1343" customWidth="1"/>
    <col min="28" max="28" width="1.88671875" style="1343" customWidth="1"/>
    <col min="29" max="29" width="1.109375" style="1343" customWidth="1"/>
    <col min="30" max="30" width="13.44140625" style="1343" customWidth="1"/>
    <col min="31" max="31" width="1.109375" style="1343" customWidth="1"/>
    <col min="32" max="32" width="13.44140625" style="1343" customWidth="1"/>
    <col min="33" max="33" width="8.88671875" style="1343"/>
    <col min="34" max="34" width="8.88671875" style="1483"/>
    <col min="35" max="16384" width="8.88671875" style="1343"/>
  </cols>
  <sheetData>
    <row r="1" spans="1:33" ht="15">
      <c r="A1" s="284" t="s">
        <v>97</v>
      </c>
    </row>
    <row r="2" spans="1:33" ht="15" customHeight="1">
      <c r="A2" s="284"/>
    </row>
    <row r="3" spans="1:33" ht="21" customHeight="1">
      <c r="A3" s="2056" t="s">
        <v>98</v>
      </c>
      <c r="B3" s="2057"/>
      <c r="C3" s="2057"/>
      <c r="D3" s="2057"/>
      <c r="E3" s="2057"/>
      <c r="F3" s="2057"/>
      <c r="G3" s="2057"/>
      <c r="H3" s="2057"/>
      <c r="I3" s="2057"/>
      <c r="J3" s="2057"/>
      <c r="K3" s="2057"/>
      <c r="L3" s="2057"/>
      <c r="M3" s="2057"/>
      <c r="N3" s="2057"/>
      <c r="O3" s="2057"/>
      <c r="P3" s="2057"/>
      <c r="Q3" s="2057"/>
      <c r="R3" s="2057"/>
      <c r="S3" s="2057"/>
      <c r="T3" s="2057"/>
      <c r="U3" s="2057"/>
      <c r="V3" s="2057"/>
      <c r="W3" s="2057"/>
      <c r="X3" s="2057"/>
      <c r="Y3" s="2057"/>
      <c r="Z3" s="2057"/>
      <c r="AA3" s="2057"/>
      <c r="AB3" s="2057"/>
      <c r="AC3" s="266"/>
      <c r="AF3" s="1426" t="s">
        <v>155</v>
      </c>
    </row>
    <row r="4" spans="1:33" ht="20.25">
      <c r="A4" s="2058" t="s">
        <v>156</v>
      </c>
      <c r="B4" s="2057"/>
      <c r="C4" s="2057"/>
      <c r="D4" s="2057"/>
      <c r="E4" s="2057"/>
      <c r="F4" s="2057"/>
      <c r="G4" s="2057"/>
      <c r="H4" s="2057"/>
      <c r="I4" s="2057"/>
      <c r="J4" s="2057"/>
      <c r="K4" s="2057"/>
      <c r="L4" s="2057"/>
      <c r="M4" s="2057"/>
      <c r="N4" s="2057"/>
      <c r="O4" s="2057"/>
      <c r="P4" s="2057"/>
      <c r="Q4" s="2057"/>
      <c r="R4" s="2057"/>
      <c r="S4" s="2057"/>
      <c r="T4" s="2057"/>
      <c r="U4" s="2057"/>
      <c r="V4" s="2057"/>
      <c r="W4" s="2057"/>
      <c r="X4" s="2057"/>
      <c r="Y4" s="2057"/>
      <c r="Z4" s="2057"/>
      <c r="AA4" s="2057"/>
      <c r="AB4" s="2057"/>
      <c r="AC4" s="266"/>
      <c r="AF4" s="1426" t="s">
        <v>157</v>
      </c>
    </row>
    <row r="5" spans="1:33" ht="21" customHeight="1">
      <c r="A5" s="2058" t="s">
        <v>158</v>
      </c>
      <c r="B5" s="2057"/>
      <c r="C5" s="2057"/>
      <c r="D5" s="2057"/>
      <c r="E5" s="2057"/>
      <c r="F5" s="2057"/>
      <c r="G5" s="2057"/>
      <c r="H5" s="2057"/>
      <c r="I5" s="2057"/>
      <c r="J5" s="2057"/>
      <c r="K5" s="2057"/>
      <c r="L5" s="2057"/>
      <c r="M5" s="2057"/>
      <c r="N5" s="2057"/>
      <c r="O5" s="2057"/>
      <c r="P5" s="2057"/>
      <c r="Q5" s="2057"/>
      <c r="R5" s="2057"/>
      <c r="S5" s="2057"/>
      <c r="T5" s="2057"/>
      <c r="U5" s="2057"/>
      <c r="V5" s="2057"/>
      <c r="W5" s="2057"/>
      <c r="X5" s="2057"/>
      <c r="Y5" s="2057"/>
      <c r="Z5" s="2057"/>
      <c r="AA5" s="2057"/>
      <c r="AB5" s="2057"/>
      <c r="AC5" s="266"/>
    </row>
    <row r="6" spans="1:33" ht="21" customHeight="1">
      <c r="A6" s="1427" t="s">
        <v>102</v>
      </c>
      <c r="B6" s="1425"/>
      <c r="C6" s="1425"/>
      <c r="D6" s="1425"/>
      <c r="E6" s="1425"/>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266"/>
    </row>
    <row r="7" spans="1:33" ht="15.75" customHeight="1">
      <c r="A7" s="1994"/>
      <c r="B7" s="1995"/>
      <c r="C7" s="1995"/>
      <c r="D7" s="1995"/>
      <c r="E7" s="1995"/>
      <c r="F7" s="1995"/>
      <c r="G7" s="1995"/>
      <c r="H7" s="1995"/>
      <c r="I7" s="1995"/>
      <c r="J7" s="1995"/>
      <c r="K7" s="1995"/>
      <c r="L7" s="1995"/>
      <c r="M7" s="1995"/>
      <c r="N7" s="1995"/>
      <c r="O7" s="1995"/>
      <c r="P7" s="1995"/>
      <c r="Q7" s="1995"/>
      <c r="R7" s="1995"/>
      <c r="S7" s="1995"/>
      <c r="T7" s="1995"/>
      <c r="U7" s="1995"/>
      <c r="V7" s="1995"/>
      <c r="W7" s="1995"/>
      <c r="X7" s="1995"/>
      <c r="Y7" s="1995"/>
      <c r="Z7" s="1995"/>
      <c r="AA7" s="1995"/>
      <c r="AB7" s="1995"/>
      <c r="AC7" s="266"/>
    </row>
    <row r="8" spans="1:33" ht="15.75" customHeight="1">
      <c r="A8" s="1428"/>
      <c r="B8" s="1428"/>
      <c r="C8" s="1428"/>
      <c r="D8" s="1428"/>
      <c r="E8" s="1428"/>
      <c r="F8" s="1428"/>
      <c r="G8" s="1428"/>
      <c r="H8" s="1429"/>
      <c r="I8" s="1430"/>
      <c r="J8" s="1430"/>
      <c r="K8" s="1430"/>
      <c r="L8" s="1430"/>
      <c r="M8" s="1428"/>
      <c r="N8" s="1430"/>
      <c r="O8" s="1430"/>
      <c r="P8" s="1430"/>
      <c r="Q8" s="1430"/>
      <c r="R8" s="1430"/>
      <c r="S8" s="1430"/>
      <c r="T8" s="1430"/>
      <c r="U8" s="1430"/>
      <c r="V8" s="1430"/>
      <c r="W8" s="1430"/>
      <c r="X8" s="1430"/>
      <c r="Y8" s="1431"/>
      <c r="Z8" s="1431"/>
      <c r="AA8" s="1426"/>
      <c r="AB8" s="1431"/>
      <c r="AC8" s="1432"/>
    </row>
    <row r="9" spans="1:33" ht="15.75" customHeight="1">
      <c r="A9" s="1428"/>
      <c r="B9" s="1428"/>
      <c r="C9" s="1428"/>
      <c r="D9" s="1428"/>
      <c r="E9" s="1428"/>
      <c r="F9" s="1428"/>
      <c r="G9" s="1428"/>
      <c r="H9" s="1429"/>
      <c r="I9" s="1430"/>
      <c r="J9" s="1430"/>
      <c r="K9" s="1430"/>
      <c r="L9" s="1430"/>
      <c r="M9" s="1428"/>
      <c r="N9" s="1430"/>
      <c r="O9" s="1430"/>
      <c r="P9" s="1430"/>
      <c r="Q9" s="1430"/>
      <c r="R9" s="1430"/>
      <c r="X9" s="1430"/>
      <c r="Y9" s="1431"/>
      <c r="Z9" s="1431"/>
      <c r="AA9" s="1426"/>
      <c r="AB9" s="1431"/>
      <c r="AC9" s="1432"/>
    </row>
    <row r="10" spans="1:33" ht="16.350000000000001" customHeight="1">
      <c r="A10" s="1428"/>
      <c r="B10" s="1428"/>
      <c r="C10" s="1428"/>
      <c r="D10" s="2053"/>
      <c r="E10" s="2054"/>
      <c r="F10" s="2054"/>
      <c r="G10" s="2054"/>
      <c r="H10" s="2054"/>
      <c r="I10" s="2054"/>
      <c r="J10" s="2054"/>
      <c r="K10" s="2054"/>
      <c r="L10" s="2054"/>
      <c r="M10" s="2054"/>
      <c r="N10" s="2054"/>
      <c r="O10" s="1430"/>
      <c r="P10" s="1434"/>
      <c r="Q10" s="1430"/>
      <c r="R10" s="2053"/>
      <c r="S10" s="2053"/>
      <c r="T10" s="2053"/>
      <c r="U10" s="2053"/>
      <c r="V10" s="2053"/>
      <c r="W10" s="2053"/>
      <c r="X10" s="2053"/>
      <c r="Y10" s="2053"/>
      <c r="Z10" s="2053"/>
      <c r="AA10" s="2053"/>
      <c r="AB10" s="2053"/>
      <c r="AC10" s="1435"/>
    </row>
    <row r="11" spans="1:33" ht="16.350000000000001" customHeight="1">
      <c r="A11" s="1305"/>
      <c r="B11" s="1305"/>
      <c r="C11" s="1305"/>
      <c r="D11" s="1436" t="s">
        <v>104</v>
      </c>
      <c r="E11" s="1436"/>
      <c r="F11" s="1436"/>
      <c r="G11" s="1306"/>
      <c r="H11" s="1437" t="s">
        <v>159</v>
      </c>
      <c r="I11" s="1436"/>
      <c r="J11" s="1436"/>
      <c r="L11" s="2055" t="s">
        <v>106</v>
      </c>
      <c r="M11" s="2055"/>
      <c r="N11" s="2055"/>
      <c r="O11" s="1433"/>
      <c r="P11" s="1433"/>
      <c r="Q11" s="1433"/>
      <c r="R11" s="1438" t="s">
        <v>160</v>
      </c>
      <c r="S11" s="1438"/>
      <c r="T11" s="1438"/>
      <c r="U11" s="1438"/>
      <c r="V11" s="1438"/>
      <c r="W11" s="1438"/>
      <c r="X11" s="1438"/>
      <c r="Y11" s="1438"/>
      <c r="Z11" s="1438"/>
      <c r="AA11" s="1438"/>
      <c r="AB11" s="1438"/>
      <c r="AC11" s="1439"/>
      <c r="AD11" s="1440"/>
      <c r="AE11" s="1440"/>
      <c r="AF11" s="1440"/>
    </row>
    <row r="12" spans="1:33" ht="15.75" customHeight="1">
      <c r="A12" s="1305"/>
      <c r="B12" s="1305"/>
      <c r="C12" s="1305"/>
      <c r="D12" s="1433" t="s">
        <v>109</v>
      </c>
      <c r="E12" s="1433"/>
      <c r="F12" s="1309" t="str">
        <f>'Exhibit A'!F11</f>
        <v>3 MOS. ENDED</v>
      </c>
      <c r="G12" s="1433"/>
      <c r="H12" s="1433" t="s">
        <v>109</v>
      </c>
      <c r="I12" s="1433"/>
      <c r="J12" s="1433" t="str">
        <f>F12</f>
        <v>3 MOS. ENDED</v>
      </c>
      <c r="K12" s="1433"/>
      <c r="L12" s="1433" t="s">
        <v>109</v>
      </c>
      <c r="M12" s="1433"/>
      <c r="N12" s="1433" t="str">
        <f>F12</f>
        <v>3 MOS. ENDED</v>
      </c>
      <c r="O12" s="1433"/>
      <c r="P12" s="1441"/>
      <c r="Q12" s="1433"/>
      <c r="R12" s="1433" t="s">
        <v>109</v>
      </c>
      <c r="S12" s="1433"/>
      <c r="T12" s="1433" t="str">
        <f>F12</f>
        <v>3 MOS. ENDED</v>
      </c>
      <c r="U12" s="1433"/>
      <c r="V12" s="1433"/>
      <c r="W12" s="1433"/>
      <c r="X12" s="1433"/>
      <c r="Y12" s="1433" t="s">
        <v>109</v>
      </c>
      <c r="Z12" s="1433"/>
      <c r="AA12" s="1433" t="str">
        <f>'Exhibit A'!AD11</f>
        <v>3 MOS. ENDED</v>
      </c>
      <c r="AB12" s="1433"/>
      <c r="AC12" s="1442"/>
      <c r="AD12" s="1433" t="s">
        <v>110</v>
      </c>
      <c r="AE12" s="284"/>
      <c r="AF12" s="1433" t="s">
        <v>111</v>
      </c>
    </row>
    <row r="13" spans="1:33" ht="16.350000000000001" customHeight="1">
      <c r="A13" s="1305"/>
      <c r="B13" s="1305"/>
      <c r="C13" s="1305"/>
      <c r="D13" s="1443" t="str">
        <f>'Exhibit A'!D12</f>
        <v>JUNE 2026</v>
      </c>
      <c r="E13" s="1433"/>
      <c r="F13" s="1443" t="str">
        <f>'Exhibit A'!F12</f>
        <v>JUNE 30, 2026</v>
      </c>
      <c r="G13" s="1433"/>
      <c r="H13" s="1438" t="str">
        <f>D13</f>
        <v>JUNE 2026</v>
      </c>
      <c r="I13" s="1433"/>
      <c r="J13" s="1438" t="str">
        <f>F13</f>
        <v>JUNE 30, 2026</v>
      </c>
      <c r="K13" s="1433"/>
      <c r="L13" s="1438" t="str">
        <f>D13</f>
        <v>JUNE 2026</v>
      </c>
      <c r="M13" s="1433"/>
      <c r="N13" s="1438" t="str">
        <f>F13</f>
        <v>JUNE 30, 2026</v>
      </c>
      <c r="O13" s="1433"/>
      <c r="P13" s="1441"/>
      <c r="Q13" s="1433"/>
      <c r="R13" s="1438" t="str">
        <f>D13</f>
        <v>JUNE 2026</v>
      </c>
      <c r="S13" s="1433"/>
      <c r="T13" s="1438" t="str">
        <f>F13</f>
        <v>JUNE 30, 2026</v>
      </c>
      <c r="U13" s="1433"/>
      <c r="V13" s="1433"/>
      <c r="W13" s="1433"/>
      <c r="X13" s="1433"/>
      <c r="Y13" s="1443" t="str">
        <f>'Exhibit A'!AB12</f>
        <v>JUNE 2025</v>
      </c>
      <c r="Z13" s="1433"/>
      <c r="AA13" s="1443" t="str">
        <f>'Exhibit A'!AD12</f>
        <v>JUNE 30, 2025</v>
      </c>
      <c r="AB13" s="1433"/>
      <c r="AC13" s="1442"/>
      <c r="AD13" s="1438" t="s">
        <v>112</v>
      </c>
      <c r="AE13" s="284"/>
      <c r="AF13" s="1443" t="s">
        <v>113</v>
      </c>
    </row>
    <row r="14" spans="1:33" ht="16.350000000000001" customHeight="1">
      <c r="A14" s="1306" t="s">
        <v>114</v>
      </c>
      <c r="B14" s="1305"/>
      <c r="C14" s="1305"/>
      <c r="D14" s="1444" t="s">
        <v>103</v>
      </c>
      <c r="E14" s="1305"/>
      <c r="F14" s="1305"/>
      <c r="G14" s="1305"/>
      <c r="H14" s="1305" t="s">
        <v>103</v>
      </c>
      <c r="I14" s="1305"/>
      <c r="J14" s="1305"/>
      <c r="K14" s="1305"/>
      <c r="L14" s="1305" t="s">
        <v>103</v>
      </c>
      <c r="M14" s="1305"/>
      <c r="N14" s="1305"/>
      <c r="O14" s="1305"/>
      <c r="P14" s="1494"/>
      <c r="Q14" s="1445"/>
      <c r="R14" s="1305"/>
      <c r="S14" s="1305"/>
      <c r="T14" s="1305"/>
      <c r="U14" s="1305"/>
      <c r="V14" s="1305"/>
      <c r="W14" s="1446"/>
      <c r="X14" s="1305"/>
      <c r="Y14" s="1305"/>
      <c r="Z14" s="1305"/>
      <c r="AA14" s="1305"/>
      <c r="AB14" s="1305"/>
      <c r="AC14" s="1447"/>
      <c r="AD14" s="1305"/>
      <c r="AF14" s="284"/>
    </row>
    <row r="15" spans="1:33" ht="18" customHeight="1">
      <c r="A15" s="1305" t="s">
        <v>161</v>
      </c>
      <c r="B15" s="1448"/>
      <c r="C15" s="1305"/>
      <c r="D15" s="1337">
        <f>+'Exhibit A'!D14</f>
        <v>3191.4</v>
      </c>
      <c r="E15" s="1337" t="s">
        <v>103</v>
      </c>
      <c r="F15" s="1337">
        <f>+'Exhibit A'!F14</f>
        <v>10443.1</v>
      </c>
      <c r="G15" s="1337"/>
      <c r="H15" s="1923">
        <f>+'Exhibit G State'!H17</f>
        <v>0</v>
      </c>
      <c r="I15" s="1337"/>
      <c r="J15" s="2009">
        <f>'Exhibit G State'!AC17</f>
        <v>0</v>
      </c>
      <c r="K15" s="1337"/>
      <c r="L15" s="2010">
        <f>+'Exhibit A'!L14</f>
        <v>3191.4000000000005</v>
      </c>
      <c r="M15" s="1337"/>
      <c r="N15" s="1337">
        <f>+'Exhibit A'!N14</f>
        <v>10443.1</v>
      </c>
      <c r="O15" s="1337"/>
      <c r="P15" s="2011"/>
      <c r="Q15" s="2012"/>
      <c r="R15" s="1337">
        <f t="shared" ref="R15:R20" si="0">ROUND(SUM(D15+H15+L15),1)</f>
        <v>6382.8</v>
      </c>
      <c r="S15" s="1337"/>
      <c r="T15" s="2010">
        <f t="shared" ref="T15:T20" si="1">ROUND(SUM(F15+J15+N15),1)</f>
        <v>20886.2</v>
      </c>
      <c r="U15" s="1337"/>
      <c r="V15" s="1337"/>
      <c r="W15" s="1449"/>
      <c r="X15" s="1337"/>
      <c r="Y15" s="1337">
        <v>5691.3</v>
      </c>
      <c r="Z15" s="1337" t="s">
        <v>103</v>
      </c>
      <c r="AA15" s="1337">
        <f>'Exhibit F'!AF27+'Exhibit G State'!AF17+'Exhibit H'!AD17</f>
        <v>19209.300000000003</v>
      </c>
      <c r="AB15" s="1450"/>
      <c r="AC15" s="1451"/>
      <c r="AD15" s="1337">
        <f t="shared" ref="AD15:AD20" si="2">ROUND(SUM(T15-AA15),1)</f>
        <v>1676.9</v>
      </c>
      <c r="AE15" s="1452"/>
      <c r="AF15" s="266">
        <f>ROUND(+AD15/AA15,3)</f>
        <v>8.6999999999999994E-2</v>
      </c>
      <c r="AG15" s="1482"/>
    </row>
    <row r="16" spans="1:33" ht="18" customHeight="1">
      <c r="A16" s="1305" t="s">
        <v>116</v>
      </c>
      <c r="B16" s="1453" t="s">
        <v>103</v>
      </c>
      <c r="C16" s="1305"/>
      <c r="D16" s="253">
        <f>+'Exhibit A'!D15</f>
        <v>1063.7</v>
      </c>
      <c r="E16" s="253"/>
      <c r="F16" s="253">
        <f>+'Exhibit A'!F15</f>
        <v>2767.1</v>
      </c>
      <c r="G16" s="253"/>
      <c r="H16" s="716">
        <f>+'Exhibit G State'!H29</f>
        <v>267.3</v>
      </c>
      <c r="I16" s="253"/>
      <c r="J16" s="2013">
        <f>'Exhibit G State'!AC29</f>
        <v>650.4</v>
      </c>
      <c r="K16" s="253"/>
      <c r="L16" s="253">
        <f>+'Exhibit A'!L15</f>
        <v>1017.5</v>
      </c>
      <c r="M16" s="253"/>
      <c r="N16" s="253">
        <f>+'Exhibit A'!N15</f>
        <v>2632.1</v>
      </c>
      <c r="O16" s="253"/>
      <c r="P16" s="1966"/>
      <c r="Q16" s="1967"/>
      <c r="R16" s="253">
        <f t="shared" si="0"/>
        <v>2348.5</v>
      </c>
      <c r="S16" s="253"/>
      <c r="T16" s="531">
        <f t="shared" si="1"/>
        <v>6049.6</v>
      </c>
      <c r="U16" s="253"/>
      <c r="V16" s="253"/>
      <c r="W16" s="1454"/>
      <c r="X16" s="253"/>
      <c r="Y16" s="253">
        <v>2153</v>
      </c>
      <c r="Z16" s="253" t="s">
        <v>103</v>
      </c>
      <c r="AA16" s="253">
        <f>'Exhibit F'!AF38+'Exhibit G State'!AF29+'Exhibit H'!AD21</f>
        <v>5610</v>
      </c>
      <c r="AB16" s="1305"/>
      <c r="AC16" s="1447"/>
      <c r="AD16" s="253">
        <f t="shared" si="2"/>
        <v>439.6</v>
      </c>
      <c r="AF16" s="266">
        <f t="shared" ref="AF16:AF21" si="3">ROUND(+AD16/AA16,3)</f>
        <v>7.8E-2</v>
      </c>
      <c r="AG16" s="1482"/>
    </row>
    <row r="17" spans="1:33" ht="18" customHeight="1">
      <c r="A17" s="1305" t="s">
        <v>117</v>
      </c>
      <c r="B17" s="1455"/>
      <c r="C17" s="1305"/>
      <c r="D17" s="253">
        <f>+'Exhibit A'!D16</f>
        <v>4650.8</v>
      </c>
      <c r="E17" s="253"/>
      <c r="F17" s="253">
        <f>+'Exhibit A'!F16</f>
        <v>5791.3</v>
      </c>
      <c r="G17" s="253"/>
      <c r="H17" s="716">
        <f>+'Exhibit G State'!H36</f>
        <v>570</v>
      </c>
      <c r="I17" s="253"/>
      <c r="J17" s="2013">
        <f>'Exhibit G State'!AC36</f>
        <v>1053.2</v>
      </c>
      <c r="K17" s="253"/>
      <c r="L17" s="253">
        <f>+'Exhibit A'!L16</f>
        <v>2292.9</v>
      </c>
      <c r="M17" s="253"/>
      <c r="N17" s="253">
        <f>+'Exhibit A'!N16</f>
        <v>2435.4</v>
      </c>
      <c r="O17" s="1456"/>
      <c r="P17" s="1968"/>
      <c r="Q17" s="1969"/>
      <c r="R17" s="253">
        <f t="shared" si="0"/>
        <v>7513.7</v>
      </c>
      <c r="S17" s="253"/>
      <c r="T17" s="531">
        <f t="shared" si="1"/>
        <v>9279.9</v>
      </c>
      <c r="U17" s="253"/>
      <c r="V17" s="253"/>
      <c r="W17" s="1457"/>
      <c r="X17" s="1456"/>
      <c r="Y17" s="253">
        <v>5761.1</v>
      </c>
      <c r="Z17" s="253" t="s">
        <v>103</v>
      </c>
      <c r="AA17" s="253">
        <f>'Exhibit F'!AF46+'Exhibit G State'!AF36+'Exhibit H'!AD23</f>
        <v>7366.1</v>
      </c>
      <c r="AB17" s="1305"/>
      <c r="AC17" s="1447"/>
      <c r="AD17" s="253">
        <f t="shared" si="2"/>
        <v>1913.8</v>
      </c>
      <c r="AF17" s="266">
        <f t="shared" si="3"/>
        <v>0.26</v>
      </c>
      <c r="AG17" s="1482"/>
    </row>
    <row r="18" spans="1:33" ht="18" customHeight="1">
      <c r="A18" s="1305" t="s">
        <v>118</v>
      </c>
      <c r="B18" s="1453" t="s">
        <v>103</v>
      </c>
      <c r="C18" s="1305"/>
      <c r="D18" s="253">
        <f>+'Exhibit A'!D17</f>
        <v>95.9</v>
      </c>
      <c r="E18" s="253"/>
      <c r="F18" s="253">
        <f>+'Exhibit A'!F17</f>
        <v>376.9</v>
      </c>
      <c r="G18" s="253"/>
      <c r="H18" s="716">
        <v>0</v>
      </c>
      <c r="I18" s="253"/>
      <c r="J18" s="2013">
        <v>0</v>
      </c>
      <c r="K18" s="253"/>
      <c r="L18" s="253">
        <f>+'Exhibit A'!L17</f>
        <v>98.3</v>
      </c>
      <c r="M18" s="253"/>
      <c r="N18" s="253">
        <f>+'Exhibit A'!N17</f>
        <v>321.8</v>
      </c>
      <c r="O18" s="253"/>
      <c r="P18" s="1966"/>
      <c r="Q18" s="1967"/>
      <c r="R18" s="253">
        <f t="shared" si="0"/>
        <v>194.2</v>
      </c>
      <c r="S18" s="253"/>
      <c r="T18" s="531">
        <f t="shared" si="1"/>
        <v>698.7</v>
      </c>
      <c r="U18" s="253"/>
      <c r="V18" s="253"/>
      <c r="W18" s="1454"/>
      <c r="X18" s="253"/>
      <c r="Y18" s="253">
        <v>158.69999999999999</v>
      </c>
      <c r="Z18" s="253" t="s">
        <v>103</v>
      </c>
      <c r="AA18" s="253">
        <f>'Exhibit F'!AF54+'Exhibit H'!AD28</f>
        <v>690.8</v>
      </c>
      <c r="AB18" s="1305"/>
      <c r="AC18" s="1447"/>
      <c r="AD18" s="253">
        <f t="shared" si="2"/>
        <v>7.9</v>
      </c>
      <c r="AF18" s="266">
        <f t="shared" si="3"/>
        <v>1.0999999999999999E-2</v>
      </c>
      <c r="AG18" s="1482"/>
    </row>
    <row r="19" spans="1:33" ht="18" customHeight="1">
      <c r="A19" s="1305" t="s">
        <v>119</v>
      </c>
      <c r="B19" s="1453" t="s">
        <v>103</v>
      </c>
      <c r="C19" s="1305"/>
      <c r="D19" s="253">
        <f>+'Exhibit A'!D18</f>
        <v>414</v>
      </c>
      <c r="E19" s="253"/>
      <c r="F19" s="253">
        <f>+'Exhibit A'!F18</f>
        <v>1137.5999999999999</v>
      </c>
      <c r="G19" s="253"/>
      <c r="H19" s="716">
        <f>+'Exhibit G State'!H81</f>
        <v>1966.2</v>
      </c>
      <c r="I19" s="253"/>
      <c r="J19" s="2013">
        <f>'Exhibit G State'!AC81</f>
        <v>6939.2</v>
      </c>
      <c r="K19" s="253"/>
      <c r="L19" s="253">
        <f>+'Exhibit A'!L18</f>
        <v>53</v>
      </c>
      <c r="M19" s="253"/>
      <c r="N19" s="253">
        <f>+'Exhibit A'!N18</f>
        <v>188.9</v>
      </c>
      <c r="O19" s="253"/>
      <c r="P19" s="1966"/>
      <c r="Q19" s="1967"/>
      <c r="R19" s="253">
        <f t="shared" si="0"/>
        <v>2433.1999999999998</v>
      </c>
      <c r="S19" s="253"/>
      <c r="T19" s="531">
        <f t="shared" si="1"/>
        <v>8265.7000000000007</v>
      </c>
      <c r="U19" s="253"/>
      <c r="V19" s="253"/>
      <c r="W19" s="1454"/>
      <c r="X19" s="253"/>
      <c r="Y19" s="253">
        <v>2212.5</v>
      </c>
      <c r="Z19" s="253" t="s">
        <v>103</v>
      </c>
      <c r="AA19" s="253">
        <f>+'Exhibit F'!AF97+'Exhibit G State'!AF81+'Exhibit H'!AD51</f>
        <v>6865.8</v>
      </c>
      <c r="AB19" s="1305"/>
      <c r="AC19" s="1447"/>
      <c r="AD19" s="253">
        <f t="shared" si="2"/>
        <v>1399.9</v>
      </c>
      <c r="AF19" s="266">
        <f t="shared" si="3"/>
        <v>0.20399999999999999</v>
      </c>
      <c r="AG19" s="1482"/>
    </row>
    <row r="20" spans="1:33" ht="18" customHeight="1">
      <c r="A20" s="1305" t="s">
        <v>120</v>
      </c>
      <c r="B20" s="1448" t="s">
        <v>103</v>
      </c>
      <c r="C20" s="1305"/>
      <c r="D20" s="253">
        <f>+'Exhibit A'!D19</f>
        <v>1.1000000000000001</v>
      </c>
      <c r="E20" s="253"/>
      <c r="F20" s="253">
        <f>+'Exhibit A'!F19</f>
        <v>1.1000000000000001</v>
      </c>
      <c r="G20" s="253"/>
      <c r="H20" s="716">
        <f>+'Exhibit G State'!H83</f>
        <v>0</v>
      </c>
      <c r="I20" s="253"/>
      <c r="J20" s="2013">
        <f>'Exhibit G State'!AC83</f>
        <v>0.2</v>
      </c>
      <c r="K20" s="253"/>
      <c r="L20" s="253">
        <f>+'Exhibit A'!L19</f>
        <v>0</v>
      </c>
      <c r="M20" s="1456"/>
      <c r="N20" s="253">
        <f>+'Exhibit A'!N19</f>
        <v>27.1</v>
      </c>
      <c r="O20" s="1456"/>
      <c r="P20" s="1968"/>
      <c r="Q20" s="1969"/>
      <c r="R20" s="1456">
        <f t="shared" si="0"/>
        <v>1.1000000000000001</v>
      </c>
      <c r="S20" s="1456"/>
      <c r="T20" s="531">
        <f t="shared" si="1"/>
        <v>28.4</v>
      </c>
      <c r="U20" s="253"/>
      <c r="V20" s="253"/>
      <c r="W20" s="1457"/>
      <c r="X20" s="1456"/>
      <c r="Y20" s="253">
        <v>0.1</v>
      </c>
      <c r="Z20" s="253" t="s">
        <v>103</v>
      </c>
      <c r="AA20" s="253">
        <f>+'Exhibit F'!AF99+'Exhibit G State'!AF83+'Exhibit H'!AD53</f>
        <v>29.4</v>
      </c>
      <c r="AB20" s="1305"/>
      <c r="AC20" s="1447"/>
      <c r="AD20" s="253">
        <f t="shared" si="2"/>
        <v>-1</v>
      </c>
      <c r="AF20" s="542">
        <f>ROUND(IF(AA20=0,1,AD20/ABS(AA20)),3)</f>
        <v>-3.4000000000000002E-2</v>
      </c>
      <c r="AG20" s="1482"/>
    </row>
    <row r="21" spans="1:33" ht="18" customHeight="1">
      <c r="A21" s="1306" t="s">
        <v>121</v>
      </c>
      <c r="B21" s="1305"/>
      <c r="C21" s="1305"/>
      <c r="D21" s="1458">
        <f>ROUND(SUM(D15:D20),1)</f>
        <v>9416.9</v>
      </c>
      <c r="E21" s="1"/>
      <c r="F21" s="1970">
        <f>ROUND(SUM(F15:F20),1)</f>
        <v>20517.099999999999</v>
      </c>
      <c r="G21" s="1"/>
      <c r="H21" s="1458">
        <f>ROUND(SUM(H15:H20),1)</f>
        <v>2803.5</v>
      </c>
      <c r="I21" s="1"/>
      <c r="J21" s="1458">
        <f>ROUND(SUM(J15:J20),1)</f>
        <v>8643</v>
      </c>
      <c r="K21" s="1"/>
      <c r="L21" s="1458">
        <f>ROUND(SUM(L15:L20),1)</f>
        <v>6653.1</v>
      </c>
      <c r="M21" s="1"/>
      <c r="N21" s="1458">
        <f>ROUND(SUM(N15:N20),1)</f>
        <v>16048.4</v>
      </c>
      <c r="O21" s="1"/>
      <c r="P21" s="1469"/>
      <c r="Q21" s="1971"/>
      <c r="R21" s="1458">
        <f>ROUND(SUM(R15:R20),1)</f>
        <v>18873.5</v>
      </c>
      <c r="S21" s="1"/>
      <c r="T21" s="1458">
        <f>ROUND(SUM(T15:T20),1)</f>
        <v>45208.5</v>
      </c>
      <c r="U21" s="1"/>
      <c r="V21" s="1"/>
      <c r="W21" s="1460"/>
      <c r="X21" s="1"/>
      <c r="Y21" s="1458">
        <f>ROUND(SUM(Y15:Y20),1)</f>
        <v>15976.7</v>
      </c>
      <c r="Z21" s="1"/>
      <c r="AA21" s="1458">
        <f>ROUND(SUM(AA15:AA20),1)</f>
        <v>39771.4</v>
      </c>
      <c r="AB21" s="1306"/>
      <c r="AC21" s="1461"/>
      <c r="AD21" s="1458">
        <f>ROUND(SUM(AD15:AD20),1)</f>
        <v>5437.1</v>
      </c>
      <c r="AE21" s="1415"/>
      <c r="AF21" s="1462">
        <f t="shared" si="3"/>
        <v>0.13700000000000001</v>
      </c>
      <c r="AG21" s="1482"/>
    </row>
    <row r="22" spans="1:33" ht="16.350000000000001" customHeight="1">
      <c r="A22" s="1306"/>
      <c r="B22" s="1305"/>
      <c r="C22" s="1305"/>
      <c r="D22" s="253"/>
      <c r="E22" s="253"/>
      <c r="F22" s="253"/>
      <c r="G22" s="253"/>
      <c r="H22" s="253"/>
      <c r="I22" s="253"/>
      <c r="J22" s="253"/>
      <c r="K22" s="253"/>
      <c r="L22" s="253"/>
      <c r="M22" s="253"/>
      <c r="N22" s="253"/>
      <c r="O22" s="253"/>
      <c r="P22" s="1966"/>
      <c r="Q22" s="1967"/>
      <c r="R22" s="253"/>
      <c r="S22" s="253"/>
      <c r="T22" s="253"/>
      <c r="U22" s="253"/>
      <c r="V22" s="253"/>
      <c r="W22" s="1454"/>
      <c r="X22" s="253"/>
      <c r="Y22" s="253"/>
      <c r="Z22" s="253"/>
      <c r="AA22" s="253"/>
      <c r="AB22" s="1305"/>
      <c r="AC22" s="1447"/>
      <c r="AD22" s="253"/>
      <c r="AF22" s="284"/>
      <c r="AG22" s="1482"/>
    </row>
    <row r="23" spans="1:33" ht="16.350000000000001" customHeight="1">
      <c r="A23" s="1306" t="s">
        <v>122</v>
      </c>
      <c r="B23" s="1305"/>
      <c r="C23" s="1305"/>
      <c r="D23" s="253"/>
      <c r="E23" s="253"/>
      <c r="F23" s="253"/>
      <c r="G23" s="253"/>
      <c r="H23" s="253"/>
      <c r="I23" s="253"/>
      <c r="J23" s="253"/>
      <c r="K23" s="253"/>
      <c r="L23" s="253"/>
      <c r="M23" s="253"/>
      <c r="N23" s="253"/>
      <c r="O23" s="253"/>
      <c r="P23" s="1966"/>
      <c r="Q23" s="1967"/>
      <c r="R23" s="253"/>
      <c r="S23" s="253"/>
      <c r="T23" s="253"/>
      <c r="U23" s="253"/>
      <c r="V23" s="253"/>
      <c r="W23" s="1454"/>
      <c r="X23" s="253"/>
      <c r="Y23" s="253"/>
      <c r="Z23" s="253"/>
      <c r="AA23" s="253"/>
      <c r="AB23" s="1305"/>
      <c r="AC23" s="1447"/>
      <c r="AD23" s="253"/>
      <c r="AF23" s="284"/>
      <c r="AG23" s="1482"/>
    </row>
    <row r="24" spans="1:33" ht="16.350000000000001" customHeight="1">
      <c r="A24" s="1305" t="s">
        <v>123</v>
      </c>
      <c r="B24" s="1444" t="s">
        <v>103</v>
      </c>
      <c r="C24" s="1305"/>
      <c r="D24" s="255"/>
      <c r="E24" s="1456"/>
      <c r="F24" s="255"/>
      <c r="G24" s="253"/>
      <c r="H24" s="255"/>
      <c r="I24" s="1456"/>
      <c r="J24" s="255"/>
      <c r="K24" s="253"/>
      <c r="L24" s="255"/>
      <c r="M24" s="253"/>
      <c r="N24" s="1456"/>
      <c r="O24" s="253"/>
      <c r="P24" s="1966"/>
      <c r="Q24" s="1967"/>
      <c r="R24" s="1456"/>
      <c r="S24" s="1456"/>
      <c r="T24" s="1456"/>
      <c r="U24" s="253"/>
      <c r="V24" s="253"/>
      <c r="W24" s="1454"/>
      <c r="X24" s="1456"/>
      <c r="Y24" s="253"/>
      <c r="Z24" s="253"/>
      <c r="AA24" s="253"/>
      <c r="AB24" s="1305"/>
      <c r="AC24" s="1447"/>
      <c r="AD24" s="255"/>
      <c r="AF24" s="1310"/>
      <c r="AG24" s="1482"/>
    </row>
    <row r="25" spans="1:33" ht="18" customHeight="1">
      <c r="A25" s="1463" t="s">
        <v>124</v>
      </c>
      <c r="B25" s="1305"/>
      <c r="C25" s="1305"/>
      <c r="D25" s="512">
        <f>+'Exhibit A'!D24</f>
        <v>2744.5</v>
      </c>
      <c r="E25" s="253"/>
      <c r="F25" s="512">
        <f>+'Exhibit A'!F24</f>
        <v>11144.8</v>
      </c>
      <c r="G25" s="253"/>
      <c r="H25" s="512">
        <f>+'Exhibit G State'!H89</f>
        <v>277.90000000000003</v>
      </c>
      <c r="I25" s="253"/>
      <c r="J25" s="512">
        <f>+'Exhibit G State'!AC89</f>
        <v>283.60000000000002</v>
      </c>
      <c r="K25" s="253"/>
      <c r="L25" s="255">
        <f>+'Exhibit A'!L24</f>
        <v>0</v>
      </c>
      <c r="M25" s="253"/>
      <c r="N25" s="1456">
        <f>+'Exhibit A'!N24</f>
        <v>0</v>
      </c>
      <c r="O25" s="1456"/>
      <c r="P25" s="1968"/>
      <c r="Q25" s="1969"/>
      <c r="R25" s="531">
        <f>ROUND(SUM(D25+H25+L25),1)</f>
        <v>3022.4</v>
      </c>
      <c r="S25" s="531"/>
      <c r="T25" s="531">
        <f>ROUND(SUM(F25+J25+N25),1)</f>
        <v>11428.4</v>
      </c>
      <c r="U25" s="253"/>
      <c r="V25" s="253"/>
      <c r="W25" s="1457"/>
      <c r="X25" s="1456"/>
      <c r="Y25" s="253">
        <v>2842.6</v>
      </c>
      <c r="Z25" s="253" t="s">
        <v>103</v>
      </c>
      <c r="AA25" s="253">
        <f>+'Exhibit F'!AF105+'Exhibit G State'!AF89</f>
        <v>10684.5</v>
      </c>
      <c r="AB25" s="1305"/>
      <c r="AC25" s="1447"/>
      <c r="AD25" s="253">
        <f>ROUND(SUM(T25-AA25),1)</f>
        <v>743.9</v>
      </c>
      <c r="AF25" s="266">
        <f>ROUND(+AD25/AA25,3)</f>
        <v>7.0000000000000007E-2</v>
      </c>
      <c r="AG25" s="1482"/>
    </row>
    <row r="26" spans="1:33" ht="18" customHeight="1">
      <c r="A26" s="1463" t="s">
        <v>125</v>
      </c>
      <c r="B26" s="1444"/>
      <c r="C26" s="1305"/>
      <c r="D26" s="512">
        <f>+'Exhibit A'!D25</f>
        <v>2.4000000000000004</v>
      </c>
      <c r="E26" s="253"/>
      <c r="F26" s="512">
        <f>+'Exhibit A'!F25</f>
        <v>3</v>
      </c>
      <c r="G26" s="253"/>
      <c r="H26" s="512">
        <f>+'Exhibit G State'!H90</f>
        <v>0.19999999999999998</v>
      </c>
      <c r="I26" s="531"/>
      <c r="J26" s="512">
        <f>+'Exhibit G State'!AC90</f>
        <v>0.3</v>
      </c>
      <c r="K26" s="253"/>
      <c r="L26" s="255">
        <f>+'Exhibit A'!L25</f>
        <v>0</v>
      </c>
      <c r="M26" s="253"/>
      <c r="N26" s="1456">
        <f>+'Exhibit A'!N25</f>
        <v>0</v>
      </c>
      <c r="O26" s="1456"/>
      <c r="P26" s="1968"/>
      <c r="Q26" s="1969"/>
      <c r="R26" s="531">
        <f t="shared" ref="R26:R33" si="4">ROUND(SUM(D26+H26+L26),1)</f>
        <v>2.6</v>
      </c>
      <c r="S26" s="531"/>
      <c r="T26" s="531">
        <f t="shared" ref="T26:T33" si="5">ROUND(SUM(F26+J26+N26),1)</f>
        <v>3.3</v>
      </c>
      <c r="U26" s="253"/>
      <c r="V26" s="253"/>
      <c r="W26" s="1457"/>
      <c r="X26" s="1456"/>
      <c r="Y26" s="253">
        <v>0.4</v>
      </c>
      <c r="Z26" s="253" t="s">
        <v>103</v>
      </c>
      <c r="AA26" s="253">
        <f>+'Exhibit F'!AF106+'Exhibit G State'!AF90</f>
        <v>0.4</v>
      </c>
      <c r="AB26" s="1305"/>
      <c r="AC26" s="1447"/>
      <c r="AD26" s="253">
        <f>ROUND(SUM(T26-AA26),1)</f>
        <v>2.9</v>
      </c>
      <c r="AF26" s="542">
        <f>ROUND(IF(AA26=0,1,AD26/ABS(AA26)),3)</f>
        <v>7.25</v>
      </c>
      <c r="AG26" s="1482"/>
    </row>
    <row r="27" spans="1:33" ht="18" customHeight="1">
      <c r="A27" s="1463" t="s">
        <v>126</v>
      </c>
      <c r="B27" s="1311"/>
      <c r="C27" s="1305"/>
      <c r="D27" s="512">
        <f>+'Exhibit A'!D26</f>
        <v>750.9</v>
      </c>
      <c r="E27" s="253"/>
      <c r="F27" s="512">
        <f>+'Exhibit A'!F26</f>
        <v>836.1</v>
      </c>
      <c r="G27" s="253"/>
      <c r="H27" s="512">
        <f>+'Exhibit G State'!H91</f>
        <v>44</v>
      </c>
      <c r="I27" s="253"/>
      <c r="J27" s="512">
        <f>+'Exhibit G State'!AC91</f>
        <v>99</v>
      </c>
      <c r="K27" s="253"/>
      <c r="L27" s="255">
        <f>+'Exhibit A'!L26</f>
        <v>0</v>
      </c>
      <c r="M27" s="253"/>
      <c r="N27" s="1456">
        <f>+'Exhibit A'!N26</f>
        <v>0</v>
      </c>
      <c r="O27" s="1456"/>
      <c r="P27" s="1968"/>
      <c r="Q27" s="1969"/>
      <c r="R27" s="531">
        <f t="shared" si="4"/>
        <v>794.9</v>
      </c>
      <c r="S27" s="531"/>
      <c r="T27" s="531">
        <f t="shared" si="5"/>
        <v>935.1</v>
      </c>
      <c r="U27" s="253"/>
      <c r="V27" s="253"/>
      <c r="W27" s="1457"/>
      <c r="X27" s="1456"/>
      <c r="Y27" s="253">
        <v>404.9</v>
      </c>
      <c r="Z27" s="253" t="s">
        <v>103</v>
      </c>
      <c r="AA27" s="253">
        <f>+'Exhibit F'!AF107+'Exhibit G State'!AF91</f>
        <v>570.70000000000005</v>
      </c>
      <c r="AB27" s="1305"/>
      <c r="AC27" s="1447"/>
      <c r="AD27" s="253">
        <f>ROUND(SUM(T27-AA27),1)</f>
        <v>364.4</v>
      </c>
      <c r="AF27" s="266">
        <f>ROUND(+AD27/AA27,3)</f>
        <v>0.63900000000000001</v>
      </c>
      <c r="AG27" s="1482"/>
    </row>
    <row r="28" spans="1:33" ht="18" customHeight="1">
      <c r="A28" s="1463" t="s">
        <v>127</v>
      </c>
      <c r="B28" s="1311"/>
      <c r="C28" s="1305"/>
      <c r="D28" s="512"/>
      <c r="E28" s="253"/>
      <c r="F28" s="512"/>
      <c r="G28" s="253"/>
      <c r="H28" s="512"/>
      <c r="I28" s="253"/>
      <c r="J28" s="512"/>
      <c r="K28" s="253"/>
      <c r="L28" s="255"/>
      <c r="M28" s="253"/>
      <c r="N28" s="1456"/>
      <c r="O28" s="1456"/>
      <c r="P28" s="1968"/>
      <c r="Q28" s="1969"/>
      <c r="R28" s="531" t="s">
        <v>103</v>
      </c>
      <c r="S28" s="531"/>
      <c r="T28" s="531" t="s">
        <v>103</v>
      </c>
      <c r="U28" s="253"/>
      <c r="V28" s="253"/>
      <c r="W28" s="1457"/>
      <c r="X28" s="1456"/>
      <c r="Y28" s="253"/>
      <c r="Z28" s="253" t="s">
        <v>103</v>
      </c>
      <c r="AA28" s="253" t="s">
        <v>103</v>
      </c>
      <c r="AB28" s="1305"/>
      <c r="AC28" s="1447"/>
      <c r="AD28" s="253"/>
      <c r="AF28" s="266"/>
      <c r="AG28" s="1482"/>
    </row>
    <row r="29" spans="1:33" ht="18" customHeight="1">
      <c r="A29" s="1464" t="s">
        <v>128</v>
      </c>
      <c r="B29" s="1448"/>
      <c r="C29" s="1305"/>
      <c r="D29" s="512">
        <f>+'Exhibit A'!D28</f>
        <v>1572.4000000000015</v>
      </c>
      <c r="E29" s="253"/>
      <c r="F29" s="512">
        <f>+'Exhibit A'!F28</f>
        <v>9816.2000000000007</v>
      </c>
      <c r="G29" s="253"/>
      <c r="H29" s="512">
        <f>+'Exhibit G State'!H93</f>
        <v>490.00000000000006</v>
      </c>
      <c r="I29" s="253"/>
      <c r="J29" s="512">
        <f>+'Exhibit G State'!AC93</f>
        <v>1323.3</v>
      </c>
      <c r="K29" s="253"/>
      <c r="L29" s="255">
        <f>+'Exhibit A'!L28</f>
        <v>0</v>
      </c>
      <c r="M29" s="253"/>
      <c r="N29" s="1456">
        <f>+'Exhibit A'!N28</f>
        <v>0</v>
      </c>
      <c r="O29" s="1456"/>
      <c r="P29" s="1968"/>
      <c r="Q29" s="1969"/>
      <c r="R29" s="531">
        <f t="shared" si="4"/>
        <v>2062.4</v>
      </c>
      <c r="S29" s="531"/>
      <c r="T29" s="531">
        <f t="shared" si="5"/>
        <v>11139.5</v>
      </c>
      <c r="U29" s="253"/>
      <c r="V29" s="253"/>
      <c r="W29" s="1457"/>
      <c r="X29" s="1456"/>
      <c r="Y29" s="253">
        <v>3306.2</v>
      </c>
      <c r="Z29" s="253" t="s">
        <v>103</v>
      </c>
      <c r="AA29" s="253">
        <f>+'Exhibit F'!AF109+'Exhibit G State'!AF93</f>
        <v>10561.8</v>
      </c>
      <c r="AB29" s="1305"/>
      <c r="AC29" s="1447"/>
      <c r="AD29" s="253">
        <f t="shared" ref="AD29:AD34" si="6">ROUND(SUM(T29-AA29),1)</f>
        <v>577.70000000000005</v>
      </c>
      <c r="AF29" s="266">
        <f t="shared" ref="AF29:AF34" si="7">ROUND(+AD29/AA29,3)</f>
        <v>5.5E-2</v>
      </c>
      <c r="AG29" s="1482"/>
    </row>
    <row r="30" spans="1:33" ht="18" customHeight="1">
      <c r="A30" s="1463" t="s">
        <v>129</v>
      </c>
      <c r="B30" s="1311"/>
      <c r="C30" s="1305"/>
      <c r="D30" s="512">
        <f>+'Exhibit A'!D29</f>
        <v>472.7</v>
      </c>
      <c r="E30" s="253"/>
      <c r="F30" s="512">
        <f>+'Exhibit A'!F29</f>
        <v>756</v>
      </c>
      <c r="G30" s="253"/>
      <c r="H30" s="512">
        <f>+'Exhibit G State'!H94</f>
        <v>357.80000000000007</v>
      </c>
      <c r="I30" s="253"/>
      <c r="J30" s="512">
        <f>+'Exhibit G State'!AC94</f>
        <v>520</v>
      </c>
      <c r="K30" s="253"/>
      <c r="L30" s="255">
        <f>+'Exhibit A'!L29</f>
        <v>0</v>
      </c>
      <c r="M30" s="253"/>
      <c r="N30" s="1456">
        <f>+'Exhibit A'!N29</f>
        <v>0</v>
      </c>
      <c r="O30" s="1456"/>
      <c r="P30" s="1968"/>
      <c r="Q30" s="1969"/>
      <c r="R30" s="531">
        <f t="shared" si="4"/>
        <v>830.5</v>
      </c>
      <c r="S30" s="531"/>
      <c r="T30" s="531">
        <f t="shared" si="5"/>
        <v>1276</v>
      </c>
      <c r="U30" s="253"/>
      <c r="V30" s="253"/>
      <c r="W30" s="1457"/>
      <c r="X30" s="1456"/>
      <c r="Y30" s="253">
        <v>844.7</v>
      </c>
      <c r="Z30" s="253" t="s">
        <v>103</v>
      </c>
      <c r="AA30" s="253">
        <f>+'Exhibit F'!AF110+'Exhibit G State'!AF94</f>
        <v>1413.4</v>
      </c>
      <c r="AB30" s="1305"/>
      <c r="AC30" s="1447"/>
      <c r="AD30" s="253">
        <f t="shared" si="6"/>
        <v>-137.4</v>
      </c>
      <c r="AF30" s="266">
        <f t="shared" si="7"/>
        <v>-9.7000000000000003E-2</v>
      </c>
      <c r="AG30" s="1482"/>
    </row>
    <row r="31" spans="1:33" ht="18" customHeight="1">
      <c r="A31" s="1463" t="s">
        <v>130</v>
      </c>
      <c r="B31" s="1305"/>
      <c r="C31" s="1305"/>
      <c r="D31" s="512">
        <f>+'Exhibit A'!D30</f>
        <v>50.400000000000006</v>
      </c>
      <c r="E31" s="253"/>
      <c r="F31" s="512">
        <f>+'Exhibit A'!F30</f>
        <v>150.80000000000001</v>
      </c>
      <c r="G31" s="253"/>
      <c r="H31" s="512">
        <f>+'Exhibit G State'!H95</f>
        <v>32.5</v>
      </c>
      <c r="I31" s="253"/>
      <c r="J31" s="512">
        <f>+'Exhibit G State'!AC95</f>
        <v>111.3</v>
      </c>
      <c r="K31" s="253"/>
      <c r="L31" s="255">
        <f>+'Exhibit A'!L30</f>
        <v>0</v>
      </c>
      <c r="M31" s="253"/>
      <c r="N31" s="1456">
        <f>+'Exhibit A'!N30</f>
        <v>0</v>
      </c>
      <c r="O31" s="1456"/>
      <c r="P31" s="1968"/>
      <c r="Q31" s="1969"/>
      <c r="R31" s="531">
        <f t="shared" si="4"/>
        <v>82.9</v>
      </c>
      <c r="S31" s="531"/>
      <c r="T31" s="531">
        <f t="shared" si="5"/>
        <v>262.10000000000002</v>
      </c>
      <c r="U31" s="253"/>
      <c r="V31" s="253"/>
      <c r="W31" s="1457"/>
      <c r="X31" s="1456"/>
      <c r="Y31" s="253">
        <v>49.9</v>
      </c>
      <c r="Z31" s="253" t="s">
        <v>103</v>
      </c>
      <c r="AA31" s="253">
        <f>+'Exhibit F'!AF111+'Exhibit G State'!AF95</f>
        <v>186.8</v>
      </c>
      <c r="AB31" s="1305"/>
      <c r="AC31" s="1447"/>
      <c r="AD31" s="253">
        <f t="shared" si="6"/>
        <v>75.3</v>
      </c>
      <c r="AF31" s="266">
        <f t="shared" si="7"/>
        <v>0.40300000000000002</v>
      </c>
      <c r="AG31" s="1482"/>
    </row>
    <row r="32" spans="1:33" ht="18" customHeight="1">
      <c r="A32" s="1463" t="s">
        <v>131</v>
      </c>
      <c r="B32" s="1305"/>
      <c r="C32" s="1305"/>
      <c r="D32" s="512">
        <f>+'Exhibit A'!D31</f>
        <v>534.4</v>
      </c>
      <c r="E32" s="253"/>
      <c r="F32" s="512">
        <f>+'Exhibit A'!F31</f>
        <v>926.8</v>
      </c>
      <c r="G32" s="253"/>
      <c r="H32" s="512">
        <f>+'Exhibit G State'!H96</f>
        <v>2.4000000000000004</v>
      </c>
      <c r="I32" s="253"/>
      <c r="J32" s="512">
        <f>+'Exhibit G State'!AC96</f>
        <v>4.8</v>
      </c>
      <c r="K32" s="253"/>
      <c r="L32" s="255">
        <f>+'Exhibit A'!L31</f>
        <v>0</v>
      </c>
      <c r="M32" s="253"/>
      <c r="N32" s="1456">
        <f>+'Exhibit A'!N31</f>
        <v>0</v>
      </c>
      <c r="O32" s="1456"/>
      <c r="P32" s="1968"/>
      <c r="Q32" s="1969"/>
      <c r="R32" s="531">
        <f t="shared" si="4"/>
        <v>536.79999999999995</v>
      </c>
      <c r="S32" s="531"/>
      <c r="T32" s="531">
        <f t="shared" si="5"/>
        <v>931.6</v>
      </c>
      <c r="U32" s="253"/>
      <c r="V32" s="253"/>
      <c r="W32" s="1457"/>
      <c r="X32" s="1456"/>
      <c r="Y32" s="253">
        <v>273.10000000000002</v>
      </c>
      <c r="Z32" s="253" t="s">
        <v>103</v>
      </c>
      <c r="AA32" s="253">
        <f>+'Exhibit F'!AF112+'Exhibit G State'!AF96</f>
        <v>757.5</v>
      </c>
      <c r="AB32" s="1305"/>
      <c r="AC32" s="1447"/>
      <c r="AD32" s="253">
        <f t="shared" si="6"/>
        <v>174.1</v>
      </c>
      <c r="AF32" s="266">
        <f t="shared" si="7"/>
        <v>0.23</v>
      </c>
      <c r="AG32" s="1482"/>
    </row>
    <row r="33" spans="1:33" ht="18" customHeight="1">
      <c r="A33" s="1463" t="s">
        <v>132</v>
      </c>
      <c r="B33" s="1305"/>
      <c r="C33" s="1305"/>
      <c r="D33" s="512">
        <f>+'Exhibit A'!D32</f>
        <v>26.800000000000004</v>
      </c>
      <c r="E33" s="253"/>
      <c r="F33" s="512">
        <f>+'Exhibit A'!F32</f>
        <v>70.2</v>
      </c>
      <c r="G33" s="253"/>
      <c r="H33" s="512">
        <f>+'Exhibit G State'!H97</f>
        <v>1.9000000000000001</v>
      </c>
      <c r="I33" s="253"/>
      <c r="J33" s="512">
        <f>+'Exhibit G State'!AC97</f>
        <v>3.6</v>
      </c>
      <c r="K33" s="253"/>
      <c r="L33" s="255">
        <f>+'Exhibit A'!L32</f>
        <v>0</v>
      </c>
      <c r="M33" s="253"/>
      <c r="N33" s="1456">
        <f>+'Exhibit A'!N32</f>
        <v>0</v>
      </c>
      <c r="O33" s="1456"/>
      <c r="P33" s="1968"/>
      <c r="Q33" s="1969"/>
      <c r="R33" s="531">
        <f t="shared" si="4"/>
        <v>28.7</v>
      </c>
      <c r="S33" s="531"/>
      <c r="T33" s="531">
        <f t="shared" si="5"/>
        <v>73.8</v>
      </c>
      <c r="U33" s="253"/>
      <c r="V33" s="253"/>
      <c r="W33" s="1457"/>
      <c r="X33" s="1456"/>
      <c r="Y33" s="253">
        <v>25.900000000000002</v>
      </c>
      <c r="Z33" s="253" t="s">
        <v>103</v>
      </c>
      <c r="AA33" s="253">
        <f>+'Exhibit F'!AF113+'Exhibit G State'!AF97</f>
        <v>67.400000000000006</v>
      </c>
      <c r="AB33" s="1305"/>
      <c r="AC33" s="1447"/>
      <c r="AD33" s="253">
        <f t="shared" si="6"/>
        <v>6.4</v>
      </c>
      <c r="AF33" s="266">
        <f t="shared" si="7"/>
        <v>9.5000000000000001E-2</v>
      </c>
      <c r="AG33" s="1482"/>
    </row>
    <row r="34" spans="1:33" ht="18" customHeight="1">
      <c r="A34" s="1463" t="s">
        <v>133</v>
      </c>
      <c r="B34" s="1305"/>
      <c r="C34" s="1305"/>
      <c r="D34" s="512">
        <f>+'Exhibit A'!D33</f>
        <v>19.099999999999998</v>
      </c>
      <c r="E34" s="253"/>
      <c r="F34" s="512">
        <f>+'Exhibit A'!F33</f>
        <v>72.8</v>
      </c>
      <c r="G34" s="253"/>
      <c r="H34" s="512">
        <f>+'Exhibit G State'!H98</f>
        <v>424.3</v>
      </c>
      <c r="I34" s="253"/>
      <c r="J34" s="512">
        <f>+'Exhibit G State'!AC98</f>
        <v>1132.3</v>
      </c>
      <c r="K34" s="253"/>
      <c r="L34" s="255">
        <f>+'Exhibit A'!L33</f>
        <v>0</v>
      </c>
      <c r="M34" s="253"/>
      <c r="N34" s="1456">
        <f>+'Exhibit A'!N33</f>
        <v>0</v>
      </c>
      <c r="O34" s="1456"/>
      <c r="P34" s="1968"/>
      <c r="Q34" s="1969"/>
      <c r="R34" s="985">
        <f>ROUND(SUM(D34+H34+L34),1)</f>
        <v>443.4</v>
      </c>
      <c r="S34" s="531"/>
      <c r="T34" s="985">
        <f>ROUND(SUM(F34+J34+N34),1)</f>
        <v>1205.0999999999999</v>
      </c>
      <c r="U34" s="253"/>
      <c r="V34" s="253"/>
      <c r="W34" s="1457"/>
      <c r="X34" s="1456"/>
      <c r="Y34" s="253">
        <v>396.9</v>
      </c>
      <c r="Z34" s="253" t="s">
        <v>103</v>
      </c>
      <c r="AA34" s="253">
        <f>+'Exhibit F'!AF114+'Exhibit G State'!AF98</f>
        <v>1178.5</v>
      </c>
      <c r="AB34" s="1305"/>
      <c r="AC34" s="1447"/>
      <c r="AD34" s="253">
        <f t="shared" si="6"/>
        <v>26.6</v>
      </c>
      <c r="AF34" s="266">
        <f t="shared" si="7"/>
        <v>2.3E-2</v>
      </c>
      <c r="AG34" s="1482"/>
    </row>
    <row r="35" spans="1:33" ht="18" customHeight="1">
      <c r="A35" s="1306" t="s">
        <v>134</v>
      </c>
      <c r="B35" s="1305"/>
      <c r="C35" s="1305"/>
      <c r="D35" s="1458">
        <f>ROUND(SUM(D25:D34),1)</f>
        <v>6173.6</v>
      </c>
      <c r="E35" s="1"/>
      <c r="F35" s="1458">
        <f>ROUND(SUM(F25:F34),1)</f>
        <v>23776.7</v>
      </c>
      <c r="G35" s="1"/>
      <c r="H35" s="1458">
        <f>ROUND(SUM(H25:H34),1)</f>
        <v>1631</v>
      </c>
      <c r="I35" s="1"/>
      <c r="J35" s="1458">
        <f>ROUND(SUM(J25:J34),1)</f>
        <v>3478.2</v>
      </c>
      <c r="K35" s="1"/>
      <c r="L35" s="1465">
        <f>ROUND(SUM(L25:L34),1)</f>
        <v>0</v>
      </c>
      <c r="M35" s="1"/>
      <c r="N35" s="2041">
        <f>ROUND(SUM(N25:N34),1)</f>
        <v>0</v>
      </c>
      <c r="O35" s="1466"/>
      <c r="P35" s="2042"/>
      <c r="Q35" s="2043"/>
      <c r="R35" s="1458">
        <f>ROUND(SUM(R25:R34),1)</f>
        <v>7804.6</v>
      </c>
      <c r="S35" s="1466"/>
      <c r="T35" s="1458">
        <f>ROUND(SUM(T25:T34),1)</f>
        <v>27254.9</v>
      </c>
      <c r="U35" s="1"/>
      <c r="V35" s="1"/>
      <c r="W35" s="1467"/>
      <c r="X35" s="1466"/>
      <c r="Y35" s="1458">
        <f>ROUND(SUM(Y25:Y34),1)</f>
        <v>8144.6</v>
      </c>
      <c r="Z35" s="1"/>
      <c r="AA35" s="1458">
        <f>ROUND(SUM(AA25:AA34),1)</f>
        <v>25421</v>
      </c>
      <c r="AB35" s="1306"/>
      <c r="AC35" s="1461"/>
      <c r="AD35" s="1458">
        <f>ROUND(SUM(AD25:AD34),1)</f>
        <v>1833.9</v>
      </c>
      <c r="AE35" s="1415"/>
      <c r="AF35" s="1462">
        <f>ROUND(+AD35/AA35,3)</f>
        <v>7.1999999999999995E-2</v>
      </c>
      <c r="AG35" s="1482"/>
    </row>
    <row r="36" spans="1:33" ht="18" customHeight="1">
      <c r="A36" s="1305" t="s">
        <v>135</v>
      </c>
      <c r="B36" s="1311"/>
      <c r="C36" s="1305"/>
      <c r="D36" s="253"/>
      <c r="E36" s="253"/>
      <c r="F36" s="253"/>
      <c r="G36" s="253"/>
      <c r="H36" s="253"/>
      <c r="I36" s="253"/>
      <c r="J36" s="253"/>
      <c r="K36" s="253"/>
      <c r="L36" s="253"/>
      <c r="M36" s="253"/>
      <c r="N36" s="253"/>
      <c r="O36" s="253"/>
      <c r="P36" s="1966"/>
      <c r="Q36" s="1967"/>
      <c r="R36" s="253"/>
      <c r="S36" s="253"/>
      <c r="T36" s="253"/>
      <c r="U36" s="253"/>
      <c r="V36" s="253"/>
      <c r="W36" s="1454"/>
      <c r="X36" s="253"/>
      <c r="Y36" s="253"/>
      <c r="Z36" s="253"/>
      <c r="AA36" s="253"/>
      <c r="AB36" s="1305"/>
      <c r="AC36" s="1447"/>
      <c r="AD36" s="253"/>
      <c r="AF36" s="284"/>
      <c r="AG36" s="1482"/>
    </row>
    <row r="37" spans="1:33" ht="18" customHeight="1">
      <c r="A37" s="1305" t="s">
        <v>136</v>
      </c>
      <c r="B37" s="1444"/>
      <c r="C37" s="1305"/>
      <c r="D37" s="253">
        <f>+'Exhibit A'!D36</f>
        <v>914.00000000000023</v>
      </c>
      <c r="E37" s="253"/>
      <c r="F37" s="512">
        <f>+'Exhibit A'!F36</f>
        <v>3036.8</v>
      </c>
      <c r="G37" s="253"/>
      <c r="H37" s="253">
        <f>+'Exhibit G State'!H101</f>
        <v>477.29999999999995</v>
      </c>
      <c r="I37" s="253"/>
      <c r="J37" s="512">
        <f>+'Exhibit G State'!AC101</f>
        <v>1549.1</v>
      </c>
      <c r="K37" s="253"/>
      <c r="L37" s="1456">
        <f>+'Exhibit A'!L36</f>
        <v>0</v>
      </c>
      <c r="M37" s="531"/>
      <c r="N37" s="1456">
        <f>+'Exhibit A'!N36</f>
        <v>0</v>
      </c>
      <c r="O37" s="1456"/>
      <c r="P37" s="1968"/>
      <c r="Q37" s="1969"/>
      <c r="R37" s="531">
        <f>ROUND(SUM(D37+H37+L37),1)</f>
        <v>1391.3</v>
      </c>
      <c r="S37" s="1456"/>
      <c r="T37" s="253">
        <f>ROUND(SUM(F37+J37+N37),1)</f>
        <v>4585.8999999999996</v>
      </c>
      <c r="U37" s="253"/>
      <c r="V37" s="253"/>
      <c r="W37" s="1457"/>
      <c r="X37" s="1456"/>
      <c r="Y37" s="253">
        <v>1296.3999999999999</v>
      </c>
      <c r="Z37" s="253" t="s">
        <v>103</v>
      </c>
      <c r="AA37" s="253">
        <f>+'Exhibit F'!AF117+'Exhibit G State'!AF101</f>
        <v>4463</v>
      </c>
      <c r="AB37" s="1305"/>
      <c r="AC37" s="1447"/>
      <c r="AD37" s="253">
        <f t="shared" ref="AD37:AD41" si="8">ROUND(SUM(T37-AA37),1)</f>
        <v>122.9</v>
      </c>
      <c r="AF37" s="266">
        <f>ROUND(+AD37/AA37,3)</f>
        <v>2.8000000000000001E-2</v>
      </c>
      <c r="AG37" s="1482"/>
    </row>
    <row r="38" spans="1:33" ht="18" customHeight="1">
      <c r="A38" s="1305" t="s">
        <v>137</v>
      </c>
      <c r="B38" s="1311"/>
      <c r="C38" s="1305"/>
      <c r="D38" s="253">
        <f>+'Exhibit A'!D37</f>
        <v>347.1</v>
      </c>
      <c r="E38" s="253"/>
      <c r="F38" s="512">
        <f>+'Exhibit A'!F37</f>
        <v>745.5</v>
      </c>
      <c r="G38" s="253"/>
      <c r="H38" s="253">
        <f>+'Exhibit G State'!H102</f>
        <v>418.19999999999993</v>
      </c>
      <c r="I38" s="253"/>
      <c r="J38" s="512">
        <f>+'Exhibit G State'!AC102</f>
        <v>1023.3</v>
      </c>
      <c r="K38" s="253"/>
      <c r="L38" s="1456">
        <f>+'Exhibit A'!L37</f>
        <v>0</v>
      </c>
      <c r="M38" s="531"/>
      <c r="N38" s="1456">
        <f>+'Exhibit A'!N37</f>
        <v>1.4</v>
      </c>
      <c r="O38" s="253"/>
      <c r="P38" s="1966"/>
      <c r="Q38" s="1967"/>
      <c r="R38" s="531">
        <f>ROUND(SUM(D38+H38+L38),1)</f>
        <v>765.3</v>
      </c>
      <c r="S38" s="1456"/>
      <c r="T38" s="253">
        <f>ROUND(SUM(F38+J38+N38),1)</f>
        <v>1770.2</v>
      </c>
      <c r="U38" s="253"/>
      <c r="V38" s="253"/>
      <c r="W38" s="1454"/>
      <c r="X38" s="253"/>
      <c r="Y38" s="253">
        <v>590.5</v>
      </c>
      <c r="Z38" s="253" t="s">
        <v>103</v>
      </c>
      <c r="AA38" s="253">
        <f>+'Exhibit F'!AF118+'Exhibit G State'!AF102+'Exhibit H'!AD59</f>
        <v>1623.6999999999998</v>
      </c>
      <c r="AB38" s="1305"/>
      <c r="AC38" s="1447"/>
      <c r="AD38" s="253">
        <f t="shared" si="8"/>
        <v>146.5</v>
      </c>
      <c r="AF38" s="266">
        <f>ROUND(+AD38/AA38,3)</f>
        <v>0.09</v>
      </c>
      <c r="AG38" s="1482"/>
    </row>
    <row r="39" spans="1:33" ht="18" customHeight="1">
      <c r="A39" s="1305" t="s">
        <v>138</v>
      </c>
      <c r="B39" s="1453"/>
      <c r="C39" s="1305"/>
      <c r="D39" s="253">
        <f>+'Exhibit A'!D38</f>
        <v>862.2</v>
      </c>
      <c r="E39" s="253"/>
      <c r="F39" s="512">
        <f>+'Exhibit A'!F38</f>
        <v>2346.9</v>
      </c>
      <c r="G39" s="253"/>
      <c r="H39" s="253">
        <f>+'Exhibit G State'!H103</f>
        <v>250.5</v>
      </c>
      <c r="I39" s="253"/>
      <c r="J39" s="512">
        <f>+'Exhibit G State'!AC103</f>
        <v>321.10000000000002</v>
      </c>
      <c r="K39" s="253"/>
      <c r="L39" s="1456">
        <f>+'Exhibit A'!L38</f>
        <v>0</v>
      </c>
      <c r="M39" s="253"/>
      <c r="N39" s="1456">
        <f>+'Exhibit A'!N38</f>
        <v>0</v>
      </c>
      <c r="O39" s="1456"/>
      <c r="P39" s="1968"/>
      <c r="Q39" s="1969"/>
      <c r="R39" s="531">
        <f>ROUND(SUM(D39+H39+L39),1)</f>
        <v>1112.7</v>
      </c>
      <c r="S39" s="1456"/>
      <c r="T39" s="253">
        <f>ROUND(SUM(F39+J39+N39),1)</f>
        <v>2668</v>
      </c>
      <c r="U39" s="253"/>
      <c r="V39" s="253"/>
      <c r="W39" s="1457"/>
      <c r="X39" s="1456"/>
      <c r="Y39" s="253">
        <v>650.9</v>
      </c>
      <c r="Z39" s="253" t="s">
        <v>103</v>
      </c>
      <c r="AA39" s="253">
        <f>+'Exhibit F'!AF119+'Exhibit G State'!AF103</f>
        <v>2373.4</v>
      </c>
      <c r="AB39" s="1305"/>
      <c r="AC39" s="1447"/>
      <c r="AD39" s="253">
        <f t="shared" si="8"/>
        <v>294.60000000000002</v>
      </c>
      <c r="AF39" s="266">
        <f>ROUND(+AD39/AA39,3)</f>
        <v>0.124</v>
      </c>
      <c r="AG39" s="1482"/>
    </row>
    <row r="40" spans="1:33" ht="18" customHeight="1">
      <c r="A40" s="1305" t="s">
        <v>139</v>
      </c>
      <c r="B40" s="1305"/>
      <c r="C40" s="1305"/>
      <c r="D40" s="253"/>
      <c r="E40" s="253"/>
      <c r="F40" s="253"/>
      <c r="G40" s="253"/>
      <c r="H40" s="253"/>
      <c r="I40" s="253"/>
      <c r="J40" s="253"/>
      <c r="K40" s="253"/>
      <c r="L40" s="253"/>
      <c r="M40" s="253"/>
      <c r="N40" s="253"/>
      <c r="O40" s="253"/>
      <c r="P40" s="1966"/>
      <c r="Q40" s="1967"/>
      <c r="R40" s="531" t="s">
        <v>103</v>
      </c>
      <c r="S40" s="253"/>
      <c r="T40" s="253" t="s">
        <v>103</v>
      </c>
      <c r="U40" s="253"/>
      <c r="V40" s="253"/>
      <c r="W40" s="1454"/>
      <c r="X40" s="253"/>
      <c r="Y40" s="253" t="s">
        <v>103</v>
      </c>
      <c r="Z40" s="253"/>
      <c r="AA40" s="253" t="s">
        <v>103</v>
      </c>
      <c r="AB40" s="1305"/>
      <c r="AC40" s="1447"/>
      <c r="AD40" s="253"/>
      <c r="AF40" s="266"/>
      <c r="AG40" s="1482"/>
    </row>
    <row r="41" spans="1:33" ht="18" customHeight="1">
      <c r="A41" s="1305" t="s">
        <v>1457</v>
      </c>
      <c r="B41" s="1444"/>
      <c r="C41" s="1305"/>
      <c r="D41" s="1456">
        <v>0</v>
      </c>
      <c r="E41" s="253"/>
      <c r="F41" s="1456">
        <v>0</v>
      </c>
      <c r="G41" s="253"/>
      <c r="H41" s="1456">
        <v>0</v>
      </c>
      <c r="I41" s="253"/>
      <c r="J41" s="1456">
        <v>0</v>
      </c>
      <c r="K41" s="253"/>
      <c r="L41" s="1456">
        <f>+'Exhibit A'!L40</f>
        <v>7.5</v>
      </c>
      <c r="M41" s="531"/>
      <c r="N41" s="1456">
        <f>+'Exhibit A'!N40</f>
        <v>15</v>
      </c>
      <c r="O41" s="253"/>
      <c r="P41" s="1966"/>
      <c r="Q41" s="1967"/>
      <c r="R41" s="531">
        <f>ROUND(SUM(D41+H41+L41),1)</f>
        <v>7.5</v>
      </c>
      <c r="S41" s="253"/>
      <c r="T41" s="253">
        <f>ROUND(SUM(F41+J41+N41),1)</f>
        <v>15</v>
      </c>
      <c r="U41" s="253"/>
      <c r="V41" s="253"/>
      <c r="W41" s="1454"/>
      <c r="X41" s="253"/>
      <c r="Y41" s="253">
        <v>8.8000000000000007</v>
      </c>
      <c r="Z41" s="253" t="s">
        <v>103</v>
      </c>
      <c r="AA41" s="253">
        <f>+'Exhibit H'!AD61</f>
        <v>27.7</v>
      </c>
      <c r="AB41" s="1305"/>
      <c r="AC41" s="1447"/>
      <c r="AD41" s="253">
        <f t="shared" si="8"/>
        <v>-12.7</v>
      </c>
      <c r="AF41" s="266">
        <f>ROUND(+AD41/AA41,3)</f>
        <v>-0.45800000000000002</v>
      </c>
      <c r="AG41" s="1482"/>
    </row>
    <row r="42" spans="1:33" ht="18" customHeight="1">
      <c r="A42" s="1305" t="s">
        <v>140</v>
      </c>
      <c r="B42" s="1444"/>
      <c r="C42" s="1305"/>
      <c r="D42" s="1456">
        <v>0</v>
      </c>
      <c r="E42" s="253"/>
      <c r="F42" s="1456">
        <v>0</v>
      </c>
      <c r="G42" s="253"/>
      <c r="H42" s="1456">
        <f>'Exhibit G State'!H104</f>
        <v>0</v>
      </c>
      <c r="I42" s="253"/>
      <c r="J42" s="1456">
        <f>'Exhibit G State'!AC104</f>
        <v>0</v>
      </c>
      <c r="K42" s="253"/>
      <c r="L42" s="1456">
        <v>0</v>
      </c>
      <c r="M42" s="531"/>
      <c r="N42" s="1456">
        <v>0</v>
      </c>
      <c r="O42" s="253"/>
      <c r="P42" s="1966"/>
      <c r="Q42" s="1967"/>
      <c r="R42" s="531">
        <f>ROUND(SUM(D42+H42+L42),1)</f>
        <v>0</v>
      </c>
      <c r="S42" s="253"/>
      <c r="T42" s="253">
        <f>ROUND(SUM(F42+J42+N42),1)</f>
        <v>0</v>
      </c>
      <c r="U42" s="253"/>
      <c r="V42" s="253"/>
      <c r="W42" s="1454"/>
      <c r="X42" s="253"/>
      <c r="Y42" s="253">
        <v>0</v>
      </c>
      <c r="Z42" s="253"/>
      <c r="AA42" s="253">
        <f>'Exhibit G State'!AF104</f>
        <v>0</v>
      </c>
      <c r="AB42" s="1305"/>
      <c r="AC42" s="1447"/>
      <c r="AD42" s="253">
        <f>ROUND(SUM(T42-AA42),1)</f>
        <v>0</v>
      </c>
      <c r="AF42" s="266">
        <f>IF(AA42=0,0,AD42/AA42)</f>
        <v>0</v>
      </c>
      <c r="AG42" s="1482"/>
    </row>
    <row r="43" spans="1:33" ht="18" customHeight="1">
      <c r="A43" s="1306" t="s">
        <v>162</v>
      </c>
      <c r="B43" s="1305"/>
      <c r="C43" s="1305"/>
      <c r="D43" s="1458">
        <f>SUM(D35:D42)</f>
        <v>8296.9000000000015</v>
      </c>
      <c r="E43" s="1"/>
      <c r="F43" s="1458">
        <f>SUM(F35:F42)</f>
        <v>29905.9</v>
      </c>
      <c r="G43" s="1"/>
      <c r="H43" s="1458">
        <f>SUM(H35:H42)</f>
        <v>2777</v>
      </c>
      <c r="I43" s="1"/>
      <c r="J43" s="1458">
        <f>SUM(J35:J42)</f>
        <v>6371.7</v>
      </c>
      <c r="K43" s="1"/>
      <c r="L43" s="1458">
        <f>SUM(L35:L42)</f>
        <v>7.5</v>
      </c>
      <c r="M43" s="1"/>
      <c r="N43" s="1458">
        <f>SUM(N35:N42)</f>
        <v>16.399999999999999</v>
      </c>
      <c r="O43" s="1"/>
      <c r="P43" s="1469"/>
      <c r="Q43" s="1971"/>
      <c r="R43" s="1458">
        <f>ROUND(SUM(R35:R42),1)</f>
        <v>11081.4</v>
      </c>
      <c r="S43" s="1"/>
      <c r="T43" s="1458">
        <f>ROUND(SUM(T35:T42),1)</f>
        <v>36294</v>
      </c>
      <c r="U43" s="1"/>
      <c r="V43" s="1"/>
      <c r="W43" s="1460"/>
      <c r="X43" s="1"/>
      <c r="Y43" s="1458">
        <f>ROUND(SUM(Y35:Y42),1)</f>
        <v>10691.2</v>
      </c>
      <c r="Z43" s="1"/>
      <c r="AA43" s="1458">
        <f>ROUND(SUM(AA35:AA42),1)</f>
        <v>33908.800000000003</v>
      </c>
      <c r="AB43" s="1306"/>
      <c r="AC43" s="1461"/>
      <c r="AD43" s="1458">
        <f>ROUND(SUM(AD35:AD42),1)</f>
        <v>2385.1999999999998</v>
      </c>
      <c r="AE43" s="1415"/>
      <c r="AF43" s="1462">
        <f>ROUND(+AD43/AA43,3)</f>
        <v>7.0000000000000007E-2</v>
      </c>
      <c r="AG43" s="1482"/>
    </row>
    <row r="44" spans="1:33" ht="16.350000000000001" customHeight="1">
      <c r="A44" s="1306"/>
      <c r="B44" s="1305"/>
      <c r="C44" s="1305"/>
      <c r="D44" s="253"/>
      <c r="E44" s="253"/>
      <c r="F44" s="253"/>
      <c r="G44" s="253"/>
      <c r="H44" s="253"/>
      <c r="I44" s="253"/>
      <c r="J44" s="253"/>
      <c r="K44" s="253"/>
      <c r="L44" s="253"/>
      <c r="M44" s="253"/>
      <c r="N44" s="253"/>
      <c r="O44" s="253"/>
      <c r="P44" s="1966"/>
      <c r="Q44" s="1967"/>
      <c r="R44" s="253"/>
      <c r="S44" s="253"/>
      <c r="T44" s="253"/>
      <c r="U44" s="253"/>
      <c r="V44" s="253"/>
      <c r="W44" s="1454"/>
      <c r="X44" s="253"/>
      <c r="Y44" s="253"/>
      <c r="Z44" s="253"/>
      <c r="AA44" s="253"/>
      <c r="AB44" s="1305"/>
      <c r="AC44" s="1447"/>
      <c r="AD44" s="253"/>
      <c r="AF44" s="284"/>
      <c r="AG44" s="1482"/>
    </row>
    <row r="45" spans="1:33" ht="16.350000000000001" customHeight="1">
      <c r="A45" s="1306" t="s">
        <v>143</v>
      </c>
      <c r="B45" s="1306"/>
      <c r="C45" s="1305"/>
      <c r="D45" s="253"/>
      <c r="E45" s="253"/>
      <c r="F45" s="253"/>
      <c r="G45" s="253"/>
      <c r="H45" s="253"/>
      <c r="I45" s="253"/>
      <c r="J45" s="253"/>
      <c r="K45" s="253"/>
      <c r="L45" s="253"/>
      <c r="M45" s="253"/>
      <c r="N45" s="253"/>
      <c r="O45" s="253"/>
      <c r="P45" s="1966"/>
      <c r="Q45" s="1967"/>
      <c r="R45" s="253"/>
      <c r="S45" s="253"/>
      <c r="T45" s="253"/>
      <c r="U45" s="253"/>
      <c r="V45" s="253"/>
      <c r="W45" s="1454"/>
      <c r="X45" s="253"/>
      <c r="Y45" s="253"/>
      <c r="Z45" s="253"/>
      <c r="AA45" s="253"/>
      <c r="AB45" s="1305"/>
      <c r="AC45" s="1447"/>
      <c r="AD45" s="253"/>
      <c r="AF45" s="284"/>
      <c r="AG45" s="1482"/>
    </row>
    <row r="46" spans="1:33" ht="16.350000000000001" customHeight="1">
      <c r="A46" s="1306" t="s">
        <v>144</v>
      </c>
      <c r="B46" s="1306"/>
      <c r="C46" s="1305"/>
      <c r="D46" s="983">
        <f>ROUND(SUM(D21-D43),1)</f>
        <v>1120</v>
      </c>
      <c r="E46" s="1"/>
      <c r="F46" s="983">
        <f>ROUND(SUM(F21-F43),1)</f>
        <v>-9388.7999999999993</v>
      </c>
      <c r="G46" s="1"/>
      <c r="H46" s="983">
        <f>ROUND(SUM(H21-H43),1)</f>
        <v>26.5</v>
      </c>
      <c r="I46" s="1"/>
      <c r="J46" s="983">
        <f>ROUND(SUM(J21-J43),1)</f>
        <v>2271.3000000000002</v>
      </c>
      <c r="K46" s="1"/>
      <c r="L46" s="983">
        <f>ROUND(SUM(L21-L43),1)</f>
        <v>6645.6</v>
      </c>
      <c r="M46" s="1" t="s">
        <v>103</v>
      </c>
      <c r="N46" s="983">
        <f>ROUND(SUM(N21-N43),1)</f>
        <v>16032</v>
      </c>
      <c r="O46" s="1"/>
      <c r="P46" s="1469"/>
      <c r="Q46" s="1971"/>
      <c r="R46" s="983">
        <f>ROUND(SUM(+R21-R43),1)</f>
        <v>7792.1</v>
      </c>
      <c r="S46" s="1"/>
      <c r="T46" s="983">
        <f>ROUND(SUM(+T21-T43),1)</f>
        <v>8914.5</v>
      </c>
      <c r="U46" s="1"/>
      <c r="V46" s="1"/>
      <c r="W46" s="1460"/>
      <c r="X46" s="1"/>
      <c r="Y46" s="983">
        <f>ROUND(SUM(Y21-Y43),1)</f>
        <v>5285.5</v>
      </c>
      <c r="Z46" s="1" t="s">
        <v>103</v>
      </c>
      <c r="AA46" s="983">
        <f>ROUND(SUM(AA21-AA43),1)</f>
        <v>5862.6</v>
      </c>
      <c r="AB46" s="1306"/>
      <c r="AC46" s="1461"/>
      <c r="AD46" s="983">
        <f>ROUND(SUM(AD21-AD43),1)</f>
        <v>3051.9</v>
      </c>
      <c r="AE46" s="1415"/>
      <c r="AF46" s="539">
        <f>ROUND(AD46/ABS(AA46),3)</f>
        <v>0.52100000000000002</v>
      </c>
      <c r="AG46" s="1482"/>
    </row>
    <row r="47" spans="1:33" ht="16.350000000000001" customHeight="1">
      <c r="A47" s="1305"/>
      <c r="B47" s="1305"/>
      <c r="C47" s="1305"/>
      <c r="D47" s="253"/>
      <c r="E47" s="253"/>
      <c r="F47" s="253"/>
      <c r="G47" s="253"/>
      <c r="H47" s="253"/>
      <c r="I47" s="253"/>
      <c r="J47" s="253"/>
      <c r="K47" s="253"/>
      <c r="L47" s="253"/>
      <c r="M47" s="253"/>
      <c r="N47" s="253"/>
      <c r="O47" s="253"/>
      <c r="P47" s="1966"/>
      <c r="Q47" s="1967"/>
      <c r="R47" s="253"/>
      <c r="S47" s="253"/>
      <c r="T47" s="253"/>
      <c r="U47" s="253"/>
      <c r="V47" s="253"/>
      <c r="W47" s="1454"/>
      <c r="X47" s="253"/>
      <c r="Y47" s="253"/>
      <c r="Z47" s="253"/>
      <c r="AA47" s="253"/>
      <c r="AB47" s="1305"/>
      <c r="AC47" s="1447"/>
      <c r="AD47" s="253"/>
      <c r="AF47" s="284"/>
      <c r="AG47" s="1482"/>
    </row>
    <row r="48" spans="1:33" ht="16.350000000000001" customHeight="1">
      <c r="A48" s="1306" t="s">
        <v>145</v>
      </c>
      <c r="B48" s="1306"/>
      <c r="C48" s="1305"/>
      <c r="D48" s="253"/>
      <c r="E48" s="253"/>
      <c r="F48" s="253"/>
      <c r="G48" s="253"/>
      <c r="H48" s="253"/>
      <c r="I48" s="253"/>
      <c r="J48" s="253"/>
      <c r="K48" s="253"/>
      <c r="L48" s="253"/>
      <c r="M48" s="253"/>
      <c r="N48" s="253"/>
      <c r="O48" s="253"/>
      <c r="P48" s="1966"/>
      <c r="Q48" s="1967"/>
      <c r="R48" s="253"/>
      <c r="S48" s="253"/>
      <c r="T48" s="253"/>
      <c r="U48" s="253"/>
      <c r="V48" s="253"/>
      <c r="W48" s="1454"/>
      <c r="X48" s="253"/>
      <c r="Y48" s="253"/>
      <c r="Z48" s="253"/>
      <c r="AA48" s="253"/>
      <c r="AB48" s="1305"/>
      <c r="AC48" s="1447"/>
      <c r="AD48" s="253"/>
      <c r="AF48" s="284"/>
      <c r="AG48" s="1482"/>
    </row>
    <row r="49" spans="1:33" ht="18" customHeight="1">
      <c r="A49" s="1305" t="s">
        <v>147</v>
      </c>
      <c r="B49" s="1444" t="s">
        <v>148</v>
      </c>
      <c r="C49" s="1305"/>
      <c r="D49" s="253">
        <f>+'Exhibit A'!D49</f>
        <v>6883.0999999999985</v>
      </c>
      <c r="E49" s="253"/>
      <c r="F49" s="253">
        <f>+'Exhibit A'!F49</f>
        <v>16353.300000000001</v>
      </c>
      <c r="G49" s="253"/>
      <c r="H49" s="253">
        <f>+'Exhibit G State'!H112</f>
        <v>748.59999999999991</v>
      </c>
      <c r="I49" s="253"/>
      <c r="J49" s="253">
        <f>+'Exhibit G State'!AC112</f>
        <v>1424.8</v>
      </c>
      <c r="K49" s="253"/>
      <c r="L49" s="253">
        <f>+'Exhibit A'!L49</f>
        <v>207.2</v>
      </c>
      <c r="M49" s="253"/>
      <c r="N49" s="1456">
        <f>+'Exhibit A'!N49</f>
        <v>483.9</v>
      </c>
      <c r="O49" s="253"/>
      <c r="P49" s="1966"/>
      <c r="Q49" s="1967"/>
      <c r="R49" s="1456">
        <f>ROUND(SUM(L49+H49+D49),1)</f>
        <v>7838.9</v>
      </c>
      <c r="S49" s="253"/>
      <c r="T49" s="1456">
        <f>ROUND(SUM(F49+J49+N49),1)</f>
        <v>18262</v>
      </c>
      <c r="U49" s="253"/>
      <c r="V49" s="253"/>
      <c r="W49" s="1454"/>
      <c r="X49" s="253"/>
      <c r="Y49" s="253">
        <v>6722.3</v>
      </c>
      <c r="Z49" s="253" t="s">
        <v>103</v>
      </c>
      <c r="AA49" s="253">
        <f>'Exhibit F'!AF128+'Exhibit F'!AF129+'Exhibit F'!AF130+'Exhibit F'!AF131+'Exhibit G State'!AF112+'Exhibit H'!AD69</f>
        <v>16878.8</v>
      </c>
      <c r="AB49" s="1305"/>
      <c r="AC49" s="1447"/>
      <c r="AD49" s="253">
        <f>ROUND(SUM(T49-AA49),1)</f>
        <v>1383.2</v>
      </c>
      <c r="AF49" s="266">
        <f>ROUND(SUM(+AD49/AA49),3)</f>
        <v>8.2000000000000003E-2</v>
      </c>
      <c r="AG49" s="1482"/>
    </row>
    <row r="50" spans="1:33" ht="18" customHeight="1">
      <c r="A50" s="1305" t="s">
        <v>149</v>
      </c>
      <c r="B50" s="1444" t="s">
        <v>148</v>
      </c>
      <c r="C50" s="1305"/>
      <c r="D50" s="253">
        <f>+'Exhibit A'!D50</f>
        <v>479.09999999999991</v>
      </c>
      <c r="E50" s="253"/>
      <c r="F50" s="253">
        <f>+'Exhibit A'!F50</f>
        <v>-998.5</v>
      </c>
      <c r="G50" s="253"/>
      <c r="H50" s="253">
        <f>+'Exhibit G State'!H113</f>
        <v>-37.800000000000004</v>
      </c>
      <c r="I50" s="253"/>
      <c r="J50" s="531">
        <f>'Exhibit G State'!AC113</f>
        <v>-63.1</v>
      </c>
      <c r="K50" s="253"/>
      <c r="L50" s="253">
        <f>+'Exhibit A'!L50</f>
        <v>-6865.1000000000013</v>
      </c>
      <c r="M50" s="253"/>
      <c r="N50" s="1456">
        <f>+'Exhibit A'!N50</f>
        <v>-16362.4</v>
      </c>
      <c r="O50" s="253"/>
      <c r="P50" s="1966"/>
      <c r="Q50" s="1967"/>
      <c r="R50" s="531">
        <f>ROUND(SUM(D50+H50+L50),1)</f>
        <v>-6423.8</v>
      </c>
      <c r="S50" s="253"/>
      <c r="T50" s="253">
        <f>ROUND(SUM(F50+J50+N50),1)</f>
        <v>-17424</v>
      </c>
      <c r="U50" s="253"/>
      <c r="V50" s="253"/>
      <c r="W50" s="1454"/>
      <c r="X50" s="253"/>
      <c r="Y50" s="253">
        <v>-13295.5</v>
      </c>
      <c r="Z50" s="253" t="s">
        <v>103</v>
      </c>
      <c r="AA50" s="253">
        <f>'Exhibit F'!AF132+'Exhibit F'!AF133+'Exhibit F'!AF134+'Exhibit F'!AF135+'Exhibit G State'!AF113+'Exhibit H'!AD70</f>
        <v>-23907.699999999997</v>
      </c>
      <c r="AB50" s="1305"/>
      <c r="AC50" s="1447"/>
      <c r="AD50" s="253">
        <f>-ROUND(SUM(T50-AA50),1)</f>
        <v>-6483.7</v>
      </c>
      <c r="AF50" s="533">
        <f>ROUND(SUM(-AD50/AA50),3)</f>
        <v>-0.27100000000000002</v>
      </c>
      <c r="AG50" s="1482"/>
    </row>
    <row r="51" spans="1:33" ht="18" customHeight="1">
      <c r="A51" s="1306" t="s">
        <v>150</v>
      </c>
      <c r="B51" s="1306"/>
      <c r="C51" s="1305"/>
      <c r="D51" s="1458">
        <f>ROUND(SUM(D49:D50),1)</f>
        <v>7362.2</v>
      </c>
      <c r="E51" s="1"/>
      <c r="F51" s="1458">
        <f>ROUND(SUM(F49:F50),1)</f>
        <v>15354.8</v>
      </c>
      <c r="G51" s="1"/>
      <c r="H51" s="1458">
        <f>ROUND(SUM(H49:H50),1)</f>
        <v>710.8</v>
      </c>
      <c r="I51" s="1"/>
      <c r="J51" s="1458">
        <f>ROUND(SUM(J49:J50),1)</f>
        <v>1361.7</v>
      </c>
      <c r="K51" s="1"/>
      <c r="L51" s="1458">
        <f>ROUND(SUM(L49:L50),1)</f>
        <v>-6657.9</v>
      </c>
      <c r="M51" s="1"/>
      <c r="N51" s="1458">
        <f>ROUND(SUM(N49:N50),1)</f>
        <v>-15878.5</v>
      </c>
      <c r="O51" s="1"/>
      <c r="P51" s="1469"/>
      <c r="Q51" s="1971"/>
      <c r="R51" s="1458">
        <f>ROUND(SUM(R49:R50),1)</f>
        <v>1415.1</v>
      </c>
      <c r="S51" s="1"/>
      <c r="T51" s="1458">
        <f>ROUND(SUM(T49:T50),1)</f>
        <v>838</v>
      </c>
      <c r="U51" s="1"/>
      <c r="V51" s="1"/>
      <c r="W51" s="1460"/>
      <c r="X51" s="1"/>
      <c r="Y51" s="1465">
        <f>ROUND(SUM(+Y49+Y50),1)</f>
        <v>-6573.2</v>
      </c>
      <c r="Z51" s="1"/>
      <c r="AA51" s="1468">
        <f>ROUND(SUM(+AA49+AA50),1)</f>
        <v>-7028.9</v>
      </c>
      <c r="AB51" s="1306"/>
      <c r="AC51" s="1461"/>
      <c r="AD51" s="1468">
        <f>ROUND(SUM(AD49-AD50),1)</f>
        <v>7866.9</v>
      </c>
      <c r="AE51" s="1415"/>
      <c r="AF51" s="539">
        <f>ROUND(SUM(AD51/ABS(AA51)),3)</f>
        <v>1.119</v>
      </c>
      <c r="AG51" s="1482"/>
    </row>
    <row r="52" spans="1:33" ht="16.350000000000001" customHeight="1">
      <c r="A52" s="1305"/>
      <c r="B52" s="1305"/>
      <c r="C52" s="1305"/>
      <c r="D52" s="253"/>
      <c r="E52" s="253"/>
      <c r="F52" s="253"/>
      <c r="G52" s="253"/>
      <c r="H52" s="253"/>
      <c r="I52" s="253"/>
      <c r="J52" s="253"/>
      <c r="K52" s="253"/>
      <c r="L52" s="253"/>
      <c r="M52" s="253"/>
      <c r="N52" s="253"/>
      <c r="O52" s="253"/>
      <c r="P52" s="1966"/>
      <c r="Q52" s="1967"/>
      <c r="R52" s="253"/>
      <c r="S52" s="253"/>
      <c r="T52" s="253"/>
      <c r="U52" s="253"/>
      <c r="V52" s="253"/>
      <c r="W52" s="1454"/>
      <c r="X52" s="253"/>
      <c r="Y52" s="253"/>
      <c r="Z52" s="253"/>
      <c r="AA52" s="253"/>
      <c r="AB52" s="1305"/>
      <c r="AC52" s="1447"/>
      <c r="AD52" s="253"/>
      <c r="AF52" s="284"/>
      <c r="AG52" s="1482"/>
    </row>
    <row r="53" spans="1:33" ht="18" customHeight="1">
      <c r="A53" s="1306" t="s">
        <v>143</v>
      </c>
      <c r="B53" s="1306"/>
      <c r="C53" s="1305"/>
      <c r="D53" s="253"/>
      <c r="E53" s="253"/>
      <c r="F53" s="253"/>
      <c r="G53" s="253"/>
      <c r="H53" s="253" t="s">
        <v>103</v>
      </c>
      <c r="I53" s="253"/>
      <c r="J53" s="253"/>
      <c r="K53" s="253"/>
      <c r="L53" s="253"/>
      <c r="M53" s="253"/>
      <c r="N53" s="253"/>
      <c r="O53" s="253"/>
      <c r="P53" s="1966"/>
      <c r="Q53" s="1967"/>
      <c r="R53" s="253"/>
      <c r="S53" s="253"/>
      <c r="T53" s="253"/>
      <c r="U53" s="253"/>
      <c r="V53" s="253"/>
      <c r="W53" s="1454"/>
      <c r="X53" s="253"/>
      <c r="Y53" s="253"/>
      <c r="Z53" s="253"/>
      <c r="AA53" s="253"/>
      <c r="AB53" s="1305"/>
      <c r="AC53" s="1447"/>
      <c r="AD53" s="253"/>
      <c r="AF53" s="1390"/>
      <c r="AG53" s="1482"/>
    </row>
    <row r="54" spans="1:33" ht="18" customHeight="1">
      <c r="A54" s="1306" t="s">
        <v>163</v>
      </c>
      <c r="B54" s="1306"/>
      <c r="C54" s="1305"/>
      <c r="D54" s="253"/>
      <c r="E54" s="253"/>
      <c r="F54" s="253"/>
      <c r="G54" s="253"/>
      <c r="H54" s="253"/>
      <c r="I54" s="253"/>
      <c r="J54" s="253"/>
      <c r="K54" s="253"/>
      <c r="L54" s="253"/>
      <c r="M54" s="253"/>
      <c r="N54" s="253"/>
      <c r="O54" s="253"/>
      <c r="P54" s="1966"/>
      <c r="Q54" s="1967"/>
      <c r="R54" s="253"/>
      <c r="S54" s="253"/>
      <c r="T54" s="253"/>
      <c r="U54" s="253"/>
      <c r="V54" s="253"/>
      <c r="W54" s="1454"/>
      <c r="X54" s="253"/>
      <c r="Y54" s="253" t="s">
        <v>103</v>
      </c>
      <c r="Z54" s="253"/>
      <c r="AA54" s="253"/>
      <c r="AB54" s="1305"/>
      <c r="AC54" s="1447"/>
      <c r="AD54" s="253"/>
      <c r="AF54" s="284"/>
      <c r="AG54" s="1482"/>
    </row>
    <row r="55" spans="1:33" ht="18" customHeight="1">
      <c r="A55" s="1306" t="s">
        <v>164</v>
      </c>
      <c r="B55" s="1306"/>
      <c r="C55" s="1305"/>
      <c r="D55" s="1">
        <f>ROUND(SUM(D46+D51),1)</f>
        <v>8482.2000000000007</v>
      </c>
      <c r="E55" s="1"/>
      <c r="F55" s="1">
        <f>ROUND(SUM(F46)+SUM(F51),1)</f>
        <v>5966</v>
      </c>
      <c r="G55" s="1"/>
      <c r="H55" s="1">
        <f>ROUND(SUM(H46+H51),1)</f>
        <v>737.3</v>
      </c>
      <c r="I55" s="1"/>
      <c r="J55" s="1">
        <f>ROUND(SUM(J46)+SUM(J51),1)</f>
        <v>3633</v>
      </c>
      <c r="K55" s="1"/>
      <c r="L55" s="1">
        <f>ROUND(SUM(L46+L51),1)</f>
        <v>-12.3</v>
      </c>
      <c r="M55" s="1459"/>
      <c r="N55" s="1459">
        <f>ROUND(SUM(N46+N51),1)</f>
        <v>153.5</v>
      </c>
      <c r="O55" s="1459"/>
      <c r="P55" s="1469"/>
      <c r="Q55" s="1972"/>
      <c r="R55" s="1459">
        <f>ROUND(SUM(+R46+R51),1)</f>
        <v>9207.2000000000007</v>
      </c>
      <c r="S55" s="1459"/>
      <c r="T55" s="1459">
        <f>ROUND(SUM(T46+T51),1)</f>
        <v>9752.5</v>
      </c>
      <c r="U55" s="1459"/>
      <c r="V55" s="1459"/>
      <c r="W55" s="1469"/>
      <c r="X55" s="1459"/>
      <c r="Y55" s="1">
        <f>ROUND(SUM(Y46)+SUM(Y51),1)</f>
        <v>-1287.7</v>
      </c>
      <c r="Z55" s="1"/>
      <c r="AA55" s="1">
        <f>ROUND(SUM(AA46)+SUM(AA51),1)</f>
        <v>-1166.3</v>
      </c>
      <c r="AB55" s="1306"/>
      <c r="AC55" s="1461"/>
      <c r="AD55" s="1">
        <f>ROUND(SUM(+AD46+AD51),1)</f>
        <v>10918.8</v>
      </c>
      <c r="AE55" s="1415"/>
      <c r="AF55" s="543">
        <f>ROUND(SUM(AD55/ABS(AA55)),3)</f>
        <v>9.3620000000000001</v>
      </c>
      <c r="AG55" s="1482"/>
    </row>
    <row r="56" spans="1:33" ht="16.350000000000001" customHeight="1">
      <c r="A56" s="1306"/>
      <c r="B56" s="1306"/>
      <c r="C56" s="1305"/>
      <c r="D56" s="253"/>
      <c r="E56" s="253"/>
      <c r="F56" s="253"/>
      <c r="G56" s="253"/>
      <c r="H56" s="253"/>
      <c r="I56" s="253"/>
      <c r="J56" s="253"/>
      <c r="K56" s="253"/>
      <c r="L56" s="253"/>
      <c r="M56" s="253"/>
      <c r="N56" s="253"/>
      <c r="O56" s="253"/>
      <c r="P56" s="1966"/>
      <c r="Q56" s="1967"/>
      <c r="R56" s="253"/>
      <c r="S56" s="253"/>
      <c r="T56" s="253"/>
      <c r="U56" s="253"/>
      <c r="V56" s="253"/>
      <c r="W56" s="1454"/>
      <c r="X56" s="253"/>
      <c r="Y56" s="253"/>
      <c r="Z56" s="253"/>
      <c r="AA56" s="253"/>
      <c r="AB56" s="1305"/>
      <c r="AC56" s="1447"/>
      <c r="AD56" s="253"/>
      <c r="AF56" s="284"/>
      <c r="AG56" s="1482"/>
    </row>
    <row r="57" spans="1:33" ht="18" customHeight="1">
      <c r="A57" s="1470" t="s">
        <v>153</v>
      </c>
      <c r="B57" s="1444"/>
      <c r="C57" s="1305"/>
      <c r="D57" s="983">
        <f>+'Exhibit A'!D57</f>
        <v>53661.4</v>
      </c>
      <c r="E57" s="1"/>
      <c r="F57" s="983">
        <f>'Exhibit A'!F57</f>
        <v>56177.599999999999</v>
      </c>
      <c r="G57" s="1"/>
      <c r="H57" s="983">
        <f>+'Exhibit G State'!H13</f>
        <v>15627.6</v>
      </c>
      <c r="I57" s="1"/>
      <c r="J57" s="983">
        <f>'Exhibit G State'!D13</f>
        <v>12731.9</v>
      </c>
      <c r="K57" s="1"/>
      <c r="L57" s="983">
        <f>+'Exhibit A'!L57</f>
        <v>270.5</v>
      </c>
      <c r="M57" s="1"/>
      <c r="N57" s="1973">
        <f>+'Exhibit A'!N57</f>
        <v>104.7</v>
      </c>
      <c r="O57" s="1"/>
      <c r="P57" s="1469"/>
      <c r="Q57" s="1971"/>
      <c r="R57" s="983">
        <f>ROUND(SUM(D57+H57+L57),1)</f>
        <v>69559.5</v>
      </c>
      <c r="S57" s="1"/>
      <c r="T57" s="983">
        <f>ROUND(SUM(F57+J57+N57),1)</f>
        <v>69014.2</v>
      </c>
      <c r="U57" s="1"/>
      <c r="V57" s="1"/>
      <c r="W57" s="1460"/>
      <c r="X57" s="1"/>
      <c r="Y57" s="983">
        <v>67443.3</v>
      </c>
      <c r="Z57" s="1" t="s">
        <v>103</v>
      </c>
      <c r="AA57" s="983">
        <f>'Exhibit F'!AF13+'Exhibit G State'!AF13+'Exhibit H'!AD13</f>
        <v>67321.899999999994</v>
      </c>
      <c r="AB57" s="1306"/>
      <c r="AC57" s="1461"/>
      <c r="AD57" s="983">
        <f>ROUND(SUM(T57-AA57),1)</f>
        <v>1692.3</v>
      </c>
      <c r="AE57" s="1415"/>
      <c r="AF57" s="538">
        <f>ROUND(+AD57/AA57,3)</f>
        <v>2.5000000000000001E-2</v>
      </c>
      <c r="AG57" s="1482"/>
    </row>
    <row r="58" spans="1:33" ht="16.350000000000001" customHeight="1">
      <c r="A58" s="1305"/>
      <c r="B58" s="1305"/>
      <c r="C58" s="1305"/>
      <c r="D58" s="1305"/>
      <c r="E58" s="1305"/>
      <c r="F58" s="1305"/>
      <c r="G58" s="1305"/>
      <c r="H58" s="1305"/>
      <c r="I58" s="1305"/>
      <c r="J58" s="1305"/>
      <c r="K58" s="1305"/>
      <c r="L58" s="1305"/>
      <c r="M58" s="1305"/>
      <c r="N58" s="1305"/>
      <c r="O58" s="1305"/>
      <c r="P58" s="1494"/>
      <c r="Q58" s="1445"/>
      <c r="R58" s="1305"/>
      <c r="S58" s="1305"/>
      <c r="T58" s="1305"/>
      <c r="U58" s="1305"/>
      <c r="V58" s="1305"/>
      <c r="W58" s="1446"/>
      <c r="X58" s="1305"/>
      <c r="Y58" s="1305"/>
      <c r="Z58" s="1305"/>
      <c r="AA58" s="1305"/>
      <c r="AB58" s="1305"/>
      <c r="AC58" s="1447"/>
      <c r="AD58" s="253"/>
      <c r="AF58" s="284"/>
      <c r="AG58" s="1482"/>
    </row>
    <row r="59" spans="1:33" ht="18" customHeight="1" thickBot="1">
      <c r="A59" s="1470" t="s">
        <v>165</v>
      </c>
      <c r="B59" s="1453" t="s">
        <v>103</v>
      </c>
      <c r="C59" s="1305"/>
      <c r="D59" s="1308">
        <f>ROUND(SUM(D55+D57),1)</f>
        <v>62143.6</v>
      </c>
      <c r="E59" s="1312"/>
      <c r="F59" s="1308">
        <f>ROUND(SUM(F55+F57),1)</f>
        <v>62143.6</v>
      </c>
      <c r="G59" s="1312"/>
      <c r="H59" s="1308">
        <f>ROUND(SUM(H55+H57),1)</f>
        <v>16364.9</v>
      </c>
      <c r="I59" s="1312"/>
      <c r="J59" s="1308">
        <f>ROUND(SUM(J55)+SUM(J57),1)</f>
        <v>16364.9</v>
      </c>
      <c r="K59" s="1312"/>
      <c r="L59" s="1308">
        <f>ROUND(SUM(L55+L57),1)</f>
        <v>258.2</v>
      </c>
      <c r="M59" s="1471"/>
      <c r="N59" s="1974">
        <f>ROUND(SUM(N55+N57),1)</f>
        <v>258.2</v>
      </c>
      <c r="O59" s="1471"/>
      <c r="P59" s="1472"/>
      <c r="Q59" s="1975"/>
      <c r="R59" s="1974">
        <f>ROUND(SUM(R55+R57),1)</f>
        <v>78766.7</v>
      </c>
      <c r="S59" s="1471"/>
      <c r="T59" s="1974">
        <f>ROUND(SUM(T55+T57),1)</f>
        <v>78766.7</v>
      </c>
      <c r="U59" s="1471"/>
      <c r="V59" s="1471"/>
      <c r="W59" s="1472"/>
      <c r="X59" s="1471"/>
      <c r="Y59" s="1308">
        <f>ROUND(SUM(Y55+Y57),1)</f>
        <v>66155.600000000006</v>
      </c>
      <c r="Z59" s="1312"/>
      <c r="AA59" s="1308">
        <f>ROUND(SUM(AA55+AA57),1)</f>
        <v>66155.600000000006</v>
      </c>
      <c r="AB59" s="1414"/>
      <c r="AC59" s="1473"/>
      <c r="AD59" s="1308">
        <f>ROUND(SUM(AD55+AD57),1)</f>
        <v>12611.1</v>
      </c>
      <c r="AE59" s="1415"/>
      <c r="AF59" s="1474">
        <f>ROUND(+AD59/AA59,3)</f>
        <v>0.191</v>
      </c>
      <c r="AG59" s="1482"/>
    </row>
    <row r="60" spans="1:33" ht="15.75" thickTop="1">
      <c r="A60" s="1475"/>
      <c r="B60" s="1475"/>
      <c r="C60" s="1475"/>
      <c r="D60" s="1476"/>
      <c r="E60" s="1476"/>
      <c r="F60" s="1476"/>
      <c r="G60" s="1476"/>
      <c r="H60" s="1976"/>
      <c r="I60" s="1476"/>
      <c r="J60" s="1476"/>
      <c r="K60" s="1476"/>
      <c r="L60" s="1476"/>
      <c r="M60" s="1476"/>
      <c r="N60" s="1476"/>
      <c r="O60" s="1476"/>
      <c r="P60" s="1977"/>
      <c r="Q60" s="1476"/>
      <c r="R60" s="1476"/>
      <c r="S60" s="1476"/>
      <c r="T60" s="1476" t="s">
        <v>103</v>
      </c>
      <c r="U60" s="1476"/>
      <c r="V60" s="1476"/>
      <c r="W60" s="1476"/>
      <c r="X60" s="1476"/>
      <c r="Y60" s="1476"/>
      <c r="Z60" s="1476"/>
      <c r="AA60" s="1476"/>
      <c r="AB60" s="1476"/>
      <c r="AC60" s="1476"/>
      <c r="AD60" s="1476"/>
      <c r="AF60" s="1477"/>
    </row>
    <row r="61" spans="1:33">
      <c r="H61" s="1424" t="s">
        <v>103</v>
      </c>
      <c r="Q61" s="1343" t="s">
        <v>103</v>
      </c>
      <c r="R61" s="1343" t="s">
        <v>103</v>
      </c>
    </row>
    <row r="62" spans="1:33" ht="18" customHeight="1">
      <c r="A62" s="284" t="s">
        <v>166</v>
      </c>
      <c r="AA62" s="1343" t="s">
        <v>103</v>
      </c>
    </row>
    <row r="63" spans="1:33" ht="18" customHeight="1">
      <c r="A63" s="697" t="s">
        <v>167</v>
      </c>
    </row>
    <row r="64" spans="1:33" ht="15">
      <c r="A64" s="1444"/>
      <c r="Y64" s="253" t="s">
        <v>103</v>
      </c>
      <c r="AA64" s="1343" t="s">
        <v>103</v>
      </c>
    </row>
    <row r="65" spans="1:25" ht="15.75">
      <c r="A65" s="1478"/>
      <c r="B65" s="1479"/>
      <c r="C65" s="285"/>
      <c r="D65" s="1480"/>
      <c r="E65" s="1480"/>
      <c r="F65" s="1480"/>
      <c r="G65" s="1480"/>
      <c r="H65" s="1978"/>
      <c r="I65" s="1480"/>
      <c r="J65" s="1480"/>
      <c r="K65" s="1480"/>
      <c r="L65" s="1480"/>
      <c r="Y65" s="253" t="s">
        <v>103</v>
      </c>
    </row>
    <row r="66" spans="1:25" ht="15">
      <c r="A66" s="284"/>
      <c r="B66" s="284"/>
      <c r="C66" s="284"/>
      <c r="D66" s="284"/>
      <c r="E66" s="284"/>
      <c r="F66" s="284"/>
      <c r="G66" s="284"/>
      <c r="H66" s="1481"/>
      <c r="I66" s="284"/>
      <c r="J66" s="284"/>
      <c r="K66" s="284"/>
      <c r="L66" s="284"/>
    </row>
    <row r="67" spans="1:25" ht="15">
      <c r="A67" s="284"/>
      <c r="B67" s="284"/>
      <c r="C67" s="284"/>
      <c r="D67" s="284"/>
      <c r="E67" s="284"/>
      <c r="F67" s="284"/>
      <c r="G67" s="284"/>
      <c r="H67" s="1481"/>
      <c r="I67" s="284"/>
      <c r="J67" s="284"/>
      <c r="K67" s="284"/>
      <c r="L67" s="284"/>
    </row>
    <row r="68" spans="1:25" ht="15">
      <c r="A68" s="284"/>
      <c r="B68" s="284"/>
      <c r="C68" s="284"/>
      <c r="D68" s="284"/>
      <c r="E68" s="284"/>
      <c r="F68" s="284"/>
      <c r="G68" s="284"/>
      <c r="H68" s="1481"/>
      <c r="I68" s="284"/>
      <c r="J68" s="284"/>
      <c r="K68" s="284"/>
      <c r="L68" s="284"/>
    </row>
    <row r="69" spans="1:25" ht="19.5" customHeight="1">
      <c r="A69" s="284"/>
      <c r="I69" s="284"/>
    </row>
    <row r="73" spans="1:25">
      <c r="F73" s="1343" t="s">
        <v>103</v>
      </c>
    </row>
  </sheetData>
  <customSheetViews>
    <customSheetView guid="{83D69B98-1714-4D17-901F-87B47BE66947}" scale="80" showGridLines="0" fitToPage="1" printArea="1" topLeftCell="A26">
      <selection activeCell="AF55" sqref="AF55"/>
      <pageMargins left="0.25" right="0.25" top="0.5" bottom="0.25" header="0" footer="0.25"/>
      <printOptions horizontalCentered="1"/>
      <pageSetup scale="49" firstPageNumber="3" orientation="landscape" useFirstPageNumber="1" r:id="rId1"/>
      <headerFooter scaleWithDoc="0" alignWithMargins="0">
        <oddFooter>&amp;C&amp;8&amp;P</oddFooter>
      </headerFooter>
    </customSheetView>
    <customSheetView guid="{F9AE1502-86F7-4AAA-AE66-F6A75A634C1B}" scale="80" showGridLines="0" fitToPage="1" printArea="1">
      <selection activeCell="AA38" sqref="AA38"/>
      <pageMargins left="0.25" right="0.25" top="0.5" bottom="0.25" header="0" footer="0.25"/>
      <printOptions horizontalCentered="1"/>
      <pageSetup scale="49" firstPageNumber="3" orientation="landscape" useFirstPageNumber="1" r:id="rId2"/>
      <headerFooter scaleWithDoc="0" alignWithMargins="0">
        <oddFooter>&amp;C&amp;8&amp;P</oddFooter>
      </headerFooter>
    </customSheetView>
    <customSheetView guid="{C41E3923-0A88-49D0-AE43-0E74D386A056}" scale="80" showGridLines="0" fitToPage="1" printArea="1">
      <selection activeCell="AA38" sqref="AA38"/>
      <pageMargins left="0.25" right="0.25" top="0.5" bottom="0.25" header="0" footer="0.25"/>
      <printOptions horizontalCentered="1"/>
      <pageSetup scale="49" firstPageNumber="3" orientation="landscape" useFirstPageNumber="1" r:id="rId3"/>
      <headerFooter scaleWithDoc="0" alignWithMargins="0">
        <oddFooter>&amp;C&amp;8&amp;P</oddFooter>
      </headerFooter>
    </customSheetView>
    <customSheetView guid="{1DF171D7-3BFC-49F6-B708-0F91FCFAB6E2}" scale="80" showGridLines="0" fitToPage="1" printArea="1">
      <selection activeCell="B33" sqref="B33"/>
      <pageMargins left="0.25" right="0.25" top="0.5" bottom="0.25" header="0" footer="0.25"/>
      <printOptions horizontalCentered="1"/>
      <pageSetup scale="49" firstPageNumber="3" orientation="landscape" useFirstPageNumber="1" r:id="rId4"/>
      <headerFooter scaleWithDoc="0" alignWithMargins="0">
        <oddFooter>&amp;C&amp;8&amp;P</oddFooter>
      </headerFooter>
    </customSheetView>
    <customSheetView guid="{9F00D83C-7F4F-41B5-9976-8610D9EBC976}" scale="80" showGridLines="0" fitToPage="1" printArea="1">
      <selection activeCell="AA38" sqref="AA38"/>
      <pageMargins left="0.25" right="0.25" top="0.5" bottom="0.25" header="0" footer="0.25"/>
      <printOptions horizontalCentered="1"/>
      <pageSetup scale="49" firstPageNumber="3" orientation="landscape" useFirstPageNumber="1" r:id="rId5"/>
      <headerFooter scaleWithDoc="0" alignWithMargins="0">
        <oddFooter>&amp;C&amp;8&amp;P</oddFooter>
      </headerFooter>
    </customSheetView>
    <customSheetView guid="{D1467C25-646C-4F1A-9353-0E890E575522}" scale="80" showGridLines="0" fitToPage="1" printArea="1" topLeftCell="A26">
      <selection activeCell="F55" sqref="F55"/>
      <pageMargins left="0.25" right="0.25" top="0.5" bottom="0.25" header="0" footer="0.25"/>
      <printOptions horizontalCentered="1"/>
      <pageSetup scale="49" firstPageNumber="3" orientation="landscape" useFirstPageNumber="1" r:id="rId6"/>
      <headerFooter scaleWithDoc="0" alignWithMargins="0">
        <oddFooter>&amp;C&amp;8&amp;P</oddFooter>
      </headerFooter>
    </customSheetView>
    <customSheetView guid="{3A50DD26-AAF5-43D4-97DE-BAE3367A2F29}" scale="80" showGridLines="0" fitToPage="1" printArea="1">
      <selection activeCell="AA38" sqref="AA38"/>
      <pageMargins left="0.25" right="0.25" top="0.5" bottom="0.25" header="0" footer="0.25"/>
      <printOptions horizontalCentered="1"/>
      <pageSetup scale="49" firstPageNumber="3" orientation="landscape" useFirstPageNumber="1" r:id="rId7"/>
      <headerFooter scaleWithDoc="0" alignWithMargins="0">
        <oddFooter>&amp;C&amp;8&amp;P</oddFooter>
      </headerFooter>
    </customSheetView>
    <customSheetView guid="{C3636880-B45B-4897-94F2-F91976416934}" scale="80" showGridLines="0" fitToPage="1" printArea="1">
      <selection activeCell="AA38" sqref="AA38"/>
      <pageMargins left="0.25" right="0.25" top="0.5" bottom="0.25" header="0" footer="0.25"/>
      <printOptions horizontalCentered="1"/>
      <pageSetup scale="49" firstPageNumber="3" orientation="landscape" useFirstPageNumber="1" r:id="rId8"/>
      <headerFooter scaleWithDoc="0" alignWithMargins="0">
        <oddFooter>&amp;C&amp;8&amp;P</oddFooter>
      </headerFooter>
    </customSheetView>
  </customSheetViews>
  <mergeCells count="6">
    <mergeCell ref="R10:AB10"/>
    <mergeCell ref="D10:N10"/>
    <mergeCell ref="L11:N11"/>
    <mergeCell ref="A3:AB3"/>
    <mergeCell ref="A4:AB4"/>
    <mergeCell ref="A5:AB5"/>
  </mergeCells>
  <printOptions horizontalCentered="1"/>
  <pageMargins left="0.25" right="0.25" top="0.5" bottom="0.25" header="0" footer="0.25"/>
  <pageSetup scale="49" firstPageNumber="3" orientation="landscape" useFirstPageNumber="1" r:id="rId9"/>
  <headerFooter scaleWithDoc="0" alignWithMargins="0">
    <oddFooter>&amp;C&amp;8&amp;P</oddFooter>
  </headerFooter>
  <customProperties>
    <customPr name="SheetOptions" r:id="rId10"/>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9"/>
  <sheetViews>
    <sheetView showGridLines="0" zoomScale="85" zoomScaleNormal="85" workbookViewId="0"/>
  </sheetViews>
  <sheetFormatPr defaultColWidth="8.88671875" defaultRowHeight="15.75"/>
  <cols>
    <col min="1" max="1" width="58.109375" style="311" customWidth="1"/>
    <col min="2" max="2" width="2.109375" style="311" customWidth="1"/>
    <col min="3" max="3" width="17.88671875" style="310" customWidth="1"/>
    <col min="4" max="4" width="1.88671875" style="311" customWidth="1"/>
    <col min="5" max="5" width="17.88671875" style="311" customWidth="1"/>
    <col min="6" max="6" width="1.88671875" style="311" customWidth="1"/>
    <col min="7" max="7" width="17.88671875" style="311" customWidth="1"/>
    <col min="8" max="8" width="1.88671875" style="311" customWidth="1"/>
    <col min="9" max="9" width="17.88671875" style="311" customWidth="1"/>
    <col min="10" max="10" width="1.88671875" style="311" customWidth="1"/>
    <col min="11" max="11" width="17.88671875" style="311" customWidth="1"/>
    <col min="12" max="12" width="6.109375" style="1260" customWidth="1"/>
    <col min="13" max="13" width="10.109375" style="311" bestFit="1" customWidth="1"/>
    <col min="14" max="14" width="9.88671875" style="311" customWidth="1"/>
    <col min="15" max="16384" width="8.88671875" style="311"/>
  </cols>
  <sheetData>
    <row r="1" spans="1:13">
      <c r="A1" s="265" t="s">
        <v>97</v>
      </c>
    </row>
    <row r="2" spans="1:13">
      <c r="A2" s="820"/>
    </row>
    <row r="3" spans="1:13" s="1636" customFormat="1" ht="18" customHeight="1">
      <c r="A3" s="1632" t="s">
        <v>98</v>
      </c>
      <c r="B3" s="1633"/>
      <c r="C3" s="1633"/>
      <c r="D3" s="1633"/>
      <c r="E3" s="1633"/>
      <c r="F3" s="1633"/>
      <c r="G3" s="1633"/>
      <c r="H3" s="1633"/>
      <c r="I3" s="1633"/>
      <c r="J3" s="1633"/>
      <c r="K3" s="1634" t="s">
        <v>603</v>
      </c>
      <c r="L3" s="1635"/>
    </row>
    <row r="4" spans="1:13" s="1636" customFormat="1" ht="18" customHeight="1">
      <c r="A4" s="1632" t="s">
        <v>604</v>
      </c>
      <c r="B4" s="1633"/>
      <c r="C4" s="1633" t="s">
        <v>103</v>
      </c>
      <c r="D4" s="1633"/>
      <c r="E4" s="1633"/>
      <c r="F4" s="1633"/>
      <c r="G4" s="1633"/>
      <c r="H4" s="1633"/>
      <c r="I4" s="1633"/>
      <c r="J4" s="1633"/>
      <c r="L4" s="1637"/>
    </row>
    <row r="5" spans="1:13" s="1636" customFormat="1" ht="18" customHeight="1">
      <c r="A5" s="1632" t="s">
        <v>605</v>
      </c>
      <c r="B5" s="1633"/>
      <c r="C5" s="1633"/>
      <c r="D5" s="1633"/>
      <c r="E5" s="1633"/>
      <c r="F5" s="1633"/>
      <c r="G5" s="1633"/>
      <c r="H5" s="1633"/>
      <c r="I5" s="1633"/>
      <c r="J5" s="1633"/>
      <c r="K5" s="1638"/>
      <c r="L5" s="1639"/>
    </row>
    <row r="6" spans="1:13" s="1636" customFormat="1" ht="18" customHeight="1">
      <c r="A6" s="1640" t="s">
        <v>606</v>
      </c>
      <c r="B6" s="1633"/>
      <c r="C6" s="1633"/>
      <c r="D6" s="1633"/>
      <c r="E6" s="1641"/>
      <c r="F6" s="1633"/>
      <c r="G6" s="1633"/>
      <c r="H6" s="1633"/>
      <c r="I6" s="1633"/>
      <c r="J6" s="1633"/>
      <c r="K6" s="1642"/>
      <c r="L6" s="1635"/>
    </row>
    <row r="7" spans="1:13" s="1636" customFormat="1" ht="18" customHeight="1">
      <c r="A7" s="1640" t="str">
        <f>'Cashflow Governmental'!$A$6</f>
        <v>FISCAL YEAR 2026-2027</v>
      </c>
      <c r="B7" s="1633"/>
      <c r="C7" s="1633"/>
      <c r="D7" s="1633"/>
      <c r="E7" s="1633"/>
      <c r="F7" s="1633"/>
      <c r="G7" s="1633"/>
      <c r="H7" s="1633"/>
      <c r="I7" s="1633"/>
      <c r="J7" s="1633"/>
      <c r="K7" s="1642"/>
      <c r="L7" s="1635"/>
    </row>
    <row r="8" spans="1:13" s="1636" customFormat="1" ht="18" customHeight="1">
      <c r="A8" s="1640" t="str">
        <f>"FOR THE MONTH OF "&amp;Footnotes!$O$3</f>
        <v>FOR THE MONTH OF JUNE 2026</v>
      </c>
      <c r="B8" s="1633"/>
      <c r="C8" s="1814"/>
      <c r="D8" s="1633"/>
      <c r="E8" s="1633" t="s">
        <v>103</v>
      </c>
      <c r="F8" s="1633"/>
      <c r="G8" s="1633"/>
      <c r="H8" s="1633"/>
      <c r="I8" s="1633"/>
      <c r="J8" s="1633"/>
      <c r="K8" s="1633"/>
      <c r="L8" s="1635"/>
    </row>
    <row r="9" spans="1:13" s="1636" customFormat="1" ht="18" customHeight="1">
      <c r="A9" s="1632" t="s">
        <v>555</v>
      </c>
      <c r="B9" s="1643" t="s">
        <v>607</v>
      </c>
      <c r="C9" s="1644"/>
      <c r="D9" s="1644"/>
      <c r="E9" s="1644"/>
      <c r="F9" s="1644"/>
      <c r="G9" s="1644"/>
      <c r="H9" s="1644"/>
      <c r="I9" s="1644"/>
      <c r="J9" s="1644"/>
      <c r="K9" s="1644"/>
      <c r="L9" s="1645"/>
    </row>
    <row r="10" spans="1:13">
      <c r="A10" s="308"/>
      <c r="B10" s="308"/>
      <c r="C10" s="131" t="s">
        <v>608</v>
      </c>
      <c r="D10" s="135"/>
      <c r="E10" s="135"/>
      <c r="F10" s="135"/>
      <c r="G10" s="135"/>
      <c r="H10" s="135"/>
      <c r="I10" s="131" t="s">
        <v>609</v>
      </c>
      <c r="J10" s="135"/>
      <c r="K10" s="131" t="s">
        <v>608</v>
      </c>
      <c r="L10" s="1261"/>
    </row>
    <row r="11" spans="1:13">
      <c r="A11" s="308"/>
      <c r="B11" s="308"/>
      <c r="C11" s="1630" t="str">
        <f>UPPER(TEXT(K11-DAY(K11)+1,"MMMM D, YYYY"))</f>
        <v>JUNE 1, 2026</v>
      </c>
      <c r="D11" s="135"/>
      <c r="E11" s="1137" t="s">
        <v>610</v>
      </c>
      <c r="F11" s="135"/>
      <c r="G11" s="1138" t="s">
        <v>611</v>
      </c>
      <c r="H11" s="135"/>
      <c r="I11" s="1138" t="s">
        <v>612</v>
      </c>
      <c r="J11" s="135"/>
      <c r="K11" s="822" t="str">
        <f>_xlfn.TEXTAFTER('Exh D Governmental  '!A6," ",4)</f>
        <v>JUNE 30, 2026</v>
      </c>
      <c r="L11" s="1631"/>
    </row>
    <row r="12" spans="1:13">
      <c r="A12" s="308"/>
      <c r="B12" s="308"/>
      <c r="C12" s="689"/>
      <c r="D12" s="135"/>
      <c r="E12" s="131"/>
      <c r="F12" s="135"/>
      <c r="G12" s="131"/>
      <c r="H12" s="135"/>
      <c r="I12" s="131"/>
      <c r="J12" s="135"/>
      <c r="K12" s="823"/>
      <c r="L12" s="1262"/>
    </row>
    <row r="13" spans="1:13">
      <c r="A13" s="132" t="s">
        <v>443</v>
      </c>
      <c r="B13" s="308"/>
      <c r="C13" s="308"/>
      <c r="D13" s="308"/>
      <c r="E13" s="307"/>
      <c r="F13" s="308"/>
      <c r="G13" s="307"/>
      <c r="H13" s="308"/>
      <c r="I13" s="307"/>
      <c r="J13" s="308"/>
      <c r="K13" s="308"/>
    </row>
    <row r="14" spans="1:13">
      <c r="A14" s="308" t="s">
        <v>613</v>
      </c>
      <c r="B14" s="307"/>
      <c r="C14" s="1702">
        <v>0</v>
      </c>
      <c r="D14" s="307"/>
      <c r="E14" s="1702">
        <v>0.25900000000000001</v>
      </c>
      <c r="F14" s="307"/>
      <c r="G14" s="1702">
        <v>6173.491</v>
      </c>
      <c r="H14" s="307"/>
      <c r="I14" s="1702">
        <v>6173.232</v>
      </c>
      <c r="J14" s="307"/>
      <c r="K14" s="1703">
        <f>ROUND(SUM(C14)+SUM(E14)-SUM(G14)+SUM(I14),3)</f>
        <v>0</v>
      </c>
      <c r="L14" s="1263"/>
      <c r="M14" s="1925"/>
    </row>
    <row r="15" spans="1:13">
      <c r="A15" s="308" t="s">
        <v>614</v>
      </c>
      <c r="B15" s="308"/>
      <c r="C15" s="1704">
        <v>53636.792000000001</v>
      </c>
      <c r="D15" s="307"/>
      <c r="E15" s="1704">
        <v>9416.67</v>
      </c>
      <c r="F15" s="307"/>
      <c r="G15" s="1704">
        <v>2123.422</v>
      </c>
      <c r="H15" s="307"/>
      <c r="I15" s="1704">
        <v>189.001</v>
      </c>
      <c r="J15" s="307"/>
      <c r="K15" s="1705">
        <f t="shared" ref="K15:K22" si="0">ROUND(SUM(C15)+SUM(E15)-SUM(G15)+SUM(I15),3)</f>
        <v>61119.040999999997</v>
      </c>
      <c r="L15" s="1264"/>
      <c r="M15" s="1925"/>
    </row>
    <row r="16" spans="1:13">
      <c r="A16" s="309" t="s">
        <v>615</v>
      </c>
      <c r="B16" s="308"/>
      <c r="C16" s="1704">
        <v>0</v>
      </c>
      <c r="D16" s="307"/>
      <c r="E16" s="1704">
        <v>0</v>
      </c>
      <c r="F16" s="307"/>
      <c r="G16" s="1704">
        <v>0</v>
      </c>
      <c r="H16" s="307"/>
      <c r="I16" s="1704">
        <v>0</v>
      </c>
      <c r="J16" s="307"/>
      <c r="K16" s="1705">
        <f t="shared" si="0"/>
        <v>0</v>
      </c>
      <c r="L16" s="1264"/>
      <c r="M16" s="1925"/>
    </row>
    <row r="17" spans="1:13">
      <c r="A17" s="308" t="s">
        <v>616</v>
      </c>
      <c r="B17" s="308"/>
      <c r="C17" s="1704">
        <v>0</v>
      </c>
      <c r="D17" s="307"/>
      <c r="E17" s="1704">
        <v>0</v>
      </c>
      <c r="F17" s="307"/>
      <c r="G17" s="1704">
        <v>0</v>
      </c>
      <c r="H17" s="307"/>
      <c r="I17" s="1704">
        <v>0</v>
      </c>
      <c r="J17" s="307"/>
      <c r="K17" s="1705">
        <f t="shared" si="0"/>
        <v>0</v>
      </c>
      <c r="L17" s="1264"/>
      <c r="M17" s="1925"/>
    </row>
    <row r="18" spans="1:13">
      <c r="A18" s="308" t="s">
        <v>617</v>
      </c>
      <c r="B18" s="308"/>
      <c r="C18" s="1704">
        <v>0</v>
      </c>
      <c r="D18" s="307"/>
      <c r="E18" s="1704">
        <v>0</v>
      </c>
      <c r="F18" s="307"/>
      <c r="G18" s="1704">
        <v>0</v>
      </c>
      <c r="H18" s="307"/>
      <c r="I18" s="1704">
        <v>0</v>
      </c>
      <c r="J18" s="307"/>
      <c r="K18" s="1705">
        <f t="shared" si="0"/>
        <v>0</v>
      </c>
      <c r="L18" s="1264"/>
      <c r="M18" s="1925"/>
    </row>
    <row r="19" spans="1:13">
      <c r="A19" s="308" t="s">
        <v>618</v>
      </c>
      <c r="B19" s="308"/>
      <c r="C19" s="1704">
        <v>24.600999999999999</v>
      </c>
      <c r="D19" s="307"/>
      <c r="E19" s="1704">
        <v>0</v>
      </c>
      <c r="F19" s="307"/>
      <c r="G19" s="1704">
        <v>1.6E-2</v>
      </c>
      <c r="H19" s="307"/>
      <c r="I19" s="1704">
        <v>0</v>
      </c>
      <c r="J19" s="307"/>
      <c r="K19" s="1705">
        <f t="shared" si="0"/>
        <v>24.585000000000001</v>
      </c>
      <c r="L19" s="1265"/>
      <c r="M19" s="1925"/>
    </row>
    <row r="20" spans="1:13">
      <c r="A20" s="308" t="s">
        <v>1520</v>
      </c>
      <c r="B20" s="308"/>
      <c r="C20" s="1704">
        <v>0</v>
      </c>
      <c r="D20" s="307"/>
      <c r="E20" s="1704">
        <v>0</v>
      </c>
      <c r="F20" s="307"/>
      <c r="G20" s="1704">
        <v>0</v>
      </c>
      <c r="H20" s="307"/>
      <c r="I20" s="1704">
        <v>1000</v>
      </c>
      <c r="J20" s="307"/>
      <c r="K20" s="1705">
        <f t="shared" si="0"/>
        <v>1000</v>
      </c>
      <c r="L20" s="1264"/>
      <c r="M20" s="1925"/>
    </row>
    <row r="21" spans="1:13">
      <c r="A21" s="309" t="s">
        <v>619</v>
      </c>
      <c r="B21" s="308"/>
      <c r="C21" s="1704">
        <v>0</v>
      </c>
      <c r="D21" s="307"/>
      <c r="E21" s="1704">
        <v>0</v>
      </c>
      <c r="F21" s="307"/>
      <c r="G21" s="1704">
        <v>0</v>
      </c>
      <c r="H21" s="307"/>
      <c r="I21" s="1704">
        <v>0</v>
      </c>
      <c r="J21" s="307"/>
      <c r="K21" s="1705">
        <f t="shared" si="0"/>
        <v>0</v>
      </c>
      <c r="L21" s="1264"/>
      <c r="M21" s="1925"/>
    </row>
    <row r="22" spans="1:13">
      <c r="A22" s="309" t="s">
        <v>620</v>
      </c>
      <c r="B22" s="308"/>
      <c r="C22" s="1704">
        <v>0</v>
      </c>
      <c r="D22" s="307"/>
      <c r="E22" s="1704">
        <v>0</v>
      </c>
      <c r="F22" s="307"/>
      <c r="G22" s="1704">
        <v>0</v>
      </c>
      <c r="H22" s="307"/>
      <c r="I22" s="1704">
        <v>0</v>
      </c>
      <c r="J22" s="307"/>
      <c r="K22" s="1705">
        <f t="shared" si="0"/>
        <v>0</v>
      </c>
      <c r="L22" s="1264"/>
      <c r="M22" s="1925"/>
    </row>
    <row r="23" spans="1:13">
      <c r="A23" s="130" t="s">
        <v>621</v>
      </c>
      <c r="B23" s="308"/>
      <c r="C23" s="1706">
        <f>ROUND(SUM(C14:C22),3)</f>
        <v>53661.392999999996</v>
      </c>
      <c r="D23" s="131"/>
      <c r="E23" s="1706">
        <f>ROUND(SUM(E14:E22),3)</f>
        <v>9416.9290000000001</v>
      </c>
      <c r="F23" s="131"/>
      <c r="G23" s="1706">
        <f>ROUND(SUM(G14:G22),3)</f>
        <v>8296.9290000000001</v>
      </c>
      <c r="H23" s="131"/>
      <c r="I23" s="1706">
        <f>ROUND(SUM(I14:I22),3)</f>
        <v>7362.2330000000002</v>
      </c>
      <c r="J23" s="131"/>
      <c r="K23" s="1706">
        <f>ROUND(SUM(K14:K22),3)</f>
        <v>62143.625999999997</v>
      </c>
      <c r="L23" s="1266"/>
      <c r="M23" s="1925" t="s">
        <v>103</v>
      </c>
    </row>
    <row r="24" spans="1:13" ht="8.25" customHeight="1">
      <c r="A24" s="130"/>
      <c r="B24" s="308"/>
      <c r="C24" s="307"/>
      <c r="D24" s="1705"/>
      <c r="E24" s="307"/>
      <c r="F24" s="1705"/>
      <c r="G24" s="307"/>
      <c r="H24" s="1705"/>
      <c r="I24" s="307"/>
      <c r="J24" s="1705"/>
      <c r="K24" s="307"/>
      <c r="L24" s="1267"/>
      <c r="M24" s="1925"/>
    </row>
    <row r="25" spans="1:13" ht="17.25">
      <c r="A25" s="309"/>
      <c r="B25" s="308"/>
      <c r="C25" s="308"/>
      <c r="D25" s="308"/>
      <c r="E25" s="308"/>
      <c r="F25" s="1707"/>
      <c r="G25" s="308"/>
      <c r="H25" s="1707"/>
      <c r="I25" s="308"/>
      <c r="J25" s="308"/>
      <c r="K25" s="1705"/>
      <c r="L25" s="1265"/>
      <c r="M25" s="1925"/>
    </row>
    <row r="26" spans="1:13" ht="17.25">
      <c r="A26" s="132" t="s">
        <v>622</v>
      </c>
      <c r="B26" s="308"/>
      <c r="C26" s="308"/>
      <c r="D26" s="308"/>
      <c r="E26" s="308"/>
      <c r="F26" s="1707"/>
      <c r="G26" s="308"/>
      <c r="H26" s="1707"/>
      <c r="I26" s="308"/>
      <c r="J26" s="308"/>
      <c r="K26" s="308"/>
      <c r="M26" s="1925"/>
    </row>
    <row r="27" spans="1:13">
      <c r="A27" s="309" t="s">
        <v>623</v>
      </c>
      <c r="B27" s="308"/>
      <c r="C27" s="1704">
        <v>1.571</v>
      </c>
      <c r="D27" s="307"/>
      <c r="E27" s="1704">
        <v>5.0000000000000001E-3</v>
      </c>
      <c r="F27" s="307"/>
      <c r="G27" s="1704">
        <v>1E-3</v>
      </c>
      <c r="H27" s="307"/>
      <c r="I27" s="1704">
        <v>0</v>
      </c>
      <c r="J27" s="307"/>
      <c r="K27" s="1705">
        <f t="shared" ref="K27:K32" si="1">ROUND(SUM(C27)+SUM(E27)-SUM(G27)+SUM(I27),3)</f>
        <v>1.575</v>
      </c>
      <c r="L27" s="1268"/>
      <c r="M27" s="1925"/>
    </row>
    <row r="28" spans="1:13">
      <c r="A28" s="309" t="s">
        <v>624</v>
      </c>
      <c r="B28" s="308"/>
      <c r="C28" s="1704">
        <v>69.222999999999999</v>
      </c>
      <c r="D28" s="307"/>
      <c r="E28" s="1704">
        <v>1.8699999999999999</v>
      </c>
      <c r="F28" s="307"/>
      <c r="G28" s="1704">
        <v>1.3140000000000001</v>
      </c>
      <c r="H28" s="307"/>
      <c r="I28" s="1704">
        <v>1.1080000000000001</v>
      </c>
      <c r="J28" s="307"/>
      <c r="K28" s="1705">
        <f t="shared" si="1"/>
        <v>70.887</v>
      </c>
      <c r="L28" s="1268"/>
      <c r="M28" s="1925"/>
    </row>
    <row r="29" spans="1:13">
      <c r="A29" s="308" t="s">
        <v>625</v>
      </c>
      <c r="B29" s="821" t="s">
        <v>607</v>
      </c>
      <c r="C29" s="1704">
        <v>763.15200000000004</v>
      </c>
      <c r="D29" s="307"/>
      <c r="E29" s="1704">
        <v>17.266999999999999</v>
      </c>
      <c r="F29" s="307"/>
      <c r="G29" s="1704">
        <v>11.138</v>
      </c>
      <c r="H29" s="307"/>
      <c r="I29" s="1704">
        <v>0</v>
      </c>
      <c r="J29" s="307"/>
      <c r="K29" s="1705">
        <f t="shared" si="1"/>
        <v>769.28099999999995</v>
      </c>
      <c r="L29" s="1268"/>
      <c r="M29" s="1925"/>
    </row>
    <row r="30" spans="1:13">
      <c r="A30" s="309" t="s">
        <v>626</v>
      </c>
      <c r="B30" s="821"/>
      <c r="C30" s="1704">
        <v>-2.5999999999999999E-2</v>
      </c>
      <c r="D30" s="307"/>
      <c r="E30" s="1704">
        <v>0</v>
      </c>
      <c r="F30" s="307"/>
      <c r="G30" s="1704">
        <v>7.6999999999999999E-2</v>
      </c>
      <c r="H30" s="307"/>
      <c r="I30" s="1704">
        <v>0.28899999999999998</v>
      </c>
      <c r="J30" s="307"/>
      <c r="K30" s="1705">
        <f t="shared" si="1"/>
        <v>0.186</v>
      </c>
      <c r="L30" s="1268"/>
      <c r="M30" s="1925"/>
    </row>
    <row r="31" spans="1:13">
      <c r="A31" s="309" t="s">
        <v>627</v>
      </c>
      <c r="B31" s="821"/>
      <c r="C31" s="1704">
        <v>0.28499999999999998</v>
      </c>
      <c r="D31" s="307"/>
      <c r="E31" s="1704">
        <v>1.2E-2</v>
      </c>
      <c r="F31" s="307"/>
      <c r="G31" s="1704">
        <v>0.111</v>
      </c>
      <c r="H31" s="307"/>
      <c r="I31" s="1704">
        <v>-1.9E-2</v>
      </c>
      <c r="J31" s="307"/>
      <c r="K31" s="1705">
        <f t="shared" si="1"/>
        <v>0.16700000000000001</v>
      </c>
      <c r="L31" s="1268"/>
      <c r="M31" s="1925"/>
    </row>
    <row r="32" spans="1:13">
      <c r="A32" s="308" t="s">
        <v>628</v>
      </c>
      <c r="B32" s="308"/>
      <c r="C32" s="1704">
        <v>12.13</v>
      </c>
      <c r="D32" s="307"/>
      <c r="E32" s="1704">
        <v>0.45600000000000002</v>
      </c>
      <c r="F32" s="307"/>
      <c r="G32" s="1704">
        <v>0.72699999999999998</v>
      </c>
      <c r="H32" s="307"/>
      <c r="I32" s="1704">
        <v>-8.1000000000000003E-2</v>
      </c>
      <c r="J32" s="307"/>
      <c r="K32" s="1705">
        <f t="shared" si="1"/>
        <v>11.778</v>
      </c>
      <c r="L32" s="1268"/>
      <c r="M32" s="1925"/>
    </row>
    <row r="33" spans="1:13">
      <c r="A33" s="308" t="s">
        <v>629</v>
      </c>
      <c r="B33" s="308"/>
      <c r="C33" s="1928"/>
      <c r="D33"/>
      <c r="E33" s="133"/>
      <c r="F33" s="133"/>
      <c r="G33" s="133"/>
      <c r="H33" s="133"/>
      <c r="I33" s="133"/>
      <c r="J33" s="133"/>
      <c r="K33" s="1708"/>
      <c r="L33" s="1268"/>
      <c r="M33" s="1925"/>
    </row>
    <row r="34" spans="1:13">
      <c r="A34" s="308" t="s">
        <v>630</v>
      </c>
      <c r="B34" s="308"/>
      <c r="C34" s="1704">
        <v>5.6689999999999996</v>
      </c>
      <c r="D34" s="307"/>
      <c r="E34" s="1704">
        <v>0.72699999999999998</v>
      </c>
      <c r="F34" s="307"/>
      <c r="G34" s="1704">
        <v>0.80900000000000005</v>
      </c>
      <c r="H34" s="307"/>
      <c r="I34" s="1704">
        <v>-0.373</v>
      </c>
      <c r="J34" s="307"/>
      <c r="K34" s="1705">
        <f t="shared" ref="K34:K59" si="2">ROUND(SUM(C34)+SUM(E34)-SUM(G34)+SUM(I34),3)</f>
        <v>5.2140000000000004</v>
      </c>
      <c r="L34" s="1268"/>
      <c r="M34" s="1925"/>
    </row>
    <row r="35" spans="1:13">
      <c r="A35" s="308" t="s">
        <v>631</v>
      </c>
      <c r="B35" s="308"/>
      <c r="C35" s="1704">
        <v>2E-3</v>
      </c>
      <c r="D35" s="307"/>
      <c r="E35" s="1704">
        <v>0</v>
      </c>
      <c r="F35" s="307"/>
      <c r="G35" s="1704">
        <v>0</v>
      </c>
      <c r="H35" s="307"/>
      <c r="I35" s="1704">
        <v>0</v>
      </c>
      <c r="J35" s="307"/>
      <c r="K35" s="1705">
        <f t="shared" si="2"/>
        <v>2E-3</v>
      </c>
      <c r="L35" s="1268"/>
      <c r="M35" s="1925"/>
    </row>
    <row r="36" spans="1:13">
      <c r="A36" s="308" t="s">
        <v>632</v>
      </c>
      <c r="B36" s="308"/>
      <c r="C36" s="1704">
        <v>6.41</v>
      </c>
      <c r="D36" s="307"/>
      <c r="E36" s="1704">
        <v>3.3000000000000002E-2</v>
      </c>
      <c r="F36" s="307"/>
      <c r="G36" s="1704">
        <v>0</v>
      </c>
      <c r="H36" s="307"/>
      <c r="I36" s="1704">
        <v>0</v>
      </c>
      <c r="J36" s="307"/>
      <c r="K36" s="1705">
        <f t="shared" si="2"/>
        <v>6.4429999999999996</v>
      </c>
      <c r="L36" s="1268"/>
      <c r="M36" s="1925"/>
    </row>
    <row r="37" spans="1:13">
      <c r="A37" s="672" t="s">
        <v>633</v>
      </c>
      <c r="B37" s="824"/>
      <c r="C37" s="1704">
        <v>0</v>
      </c>
      <c r="D37" s="307"/>
      <c r="E37" s="1704">
        <v>0</v>
      </c>
      <c r="F37" s="307"/>
      <c r="G37" s="1704">
        <v>0</v>
      </c>
      <c r="H37" s="307"/>
      <c r="I37" s="1704">
        <v>0</v>
      </c>
      <c r="J37" s="307"/>
      <c r="K37" s="1705">
        <f t="shared" si="2"/>
        <v>0</v>
      </c>
      <c r="L37" s="1268"/>
      <c r="M37" s="1925"/>
    </row>
    <row r="38" spans="1:13">
      <c r="A38" s="309" t="s">
        <v>634</v>
      </c>
      <c r="B38" s="308"/>
      <c r="C38" s="1704">
        <v>991.62300000000005</v>
      </c>
      <c r="D38" s="307"/>
      <c r="E38" s="1704">
        <v>862.23900000000003</v>
      </c>
      <c r="F38" s="307"/>
      <c r="G38" s="1704">
        <v>748.45699999999999</v>
      </c>
      <c r="H38" s="307"/>
      <c r="I38" s="1704">
        <v>0</v>
      </c>
      <c r="J38" s="307"/>
      <c r="K38" s="1705">
        <f t="shared" si="2"/>
        <v>1105.405</v>
      </c>
      <c r="L38" s="1268"/>
      <c r="M38" s="1925"/>
    </row>
    <row r="39" spans="1:13">
      <c r="A39" s="308" t="s">
        <v>635</v>
      </c>
      <c r="B39" s="308"/>
      <c r="C39" s="1704">
        <v>198.67699999999999</v>
      </c>
      <c r="D39" s="307"/>
      <c r="E39" s="1704">
        <v>193.33100000000002</v>
      </c>
      <c r="F39" s="307"/>
      <c r="G39" s="1704">
        <v>194.98599999999999</v>
      </c>
      <c r="H39" s="307"/>
      <c r="I39" s="1704">
        <v>24.978000000000002</v>
      </c>
      <c r="J39" s="307"/>
      <c r="K39" s="1705">
        <f t="shared" si="2"/>
        <v>222</v>
      </c>
      <c r="L39" s="1268"/>
      <c r="M39" s="1925"/>
    </row>
    <row r="40" spans="1:13">
      <c r="A40" s="309" t="s">
        <v>636</v>
      </c>
      <c r="B40" s="308"/>
      <c r="C40" s="1704">
        <v>890.20600000000002</v>
      </c>
      <c r="D40" s="307"/>
      <c r="E40" s="1704">
        <v>224.32300000000001</v>
      </c>
      <c r="F40" s="307"/>
      <c r="G40" s="1704">
        <v>283.49</v>
      </c>
      <c r="H40" s="307"/>
      <c r="I40" s="1704">
        <v>0</v>
      </c>
      <c r="J40" s="307"/>
      <c r="K40" s="1705">
        <f t="shared" si="2"/>
        <v>831.03899999999999</v>
      </c>
      <c r="L40" s="1268"/>
      <c r="M40" s="1925"/>
    </row>
    <row r="41" spans="1:13">
      <c r="A41" s="309" t="s">
        <v>637</v>
      </c>
      <c r="B41" s="308"/>
      <c r="C41" s="1704">
        <v>10.648</v>
      </c>
      <c r="D41" s="307"/>
      <c r="E41" s="1704">
        <v>1.0669999999999999</v>
      </c>
      <c r="F41" s="307"/>
      <c r="G41" s="1704">
        <v>0.19</v>
      </c>
      <c r="H41" s="307"/>
      <c r="I41" s="1704">
        <v>0</v>
      </c>
      <c r="J41" s="307"/>
      <c r="K41" s="1705">
        <f t="shared" si="2"/>
        <v>11.525</v>
      </c>
      <c r="L41" s="1268"/>
      <c r="M41" s="1925"/>
    </row>
    <row r="42" spans="1:13">
      <c r="A42" s="308" t="s">
        <v>638</v>
      </c>
      <c r="B42" s="308"/>
      <c r="C42" s="1704">
        <v>0</v>
      </c>
      <c r="D42" s="307"/>
      <c r="E42" s="1704">
        <v>0</v>
      </c>
      <c r="F42" s="307"/>
      <c r="G42" s="1704">
        <v>0</v>
      </c>
      <c r="H42" s="307"/>
      <c r="I42" s="1704">
        <v>0</v>
      </c>
      <c r="J42" s="307"/>
      <c r="K42" s="1705">
        <f t="shared" si="2"/>
        <v>0</v>
      </c>
      <c r="L42" s="1268"/>
      <c r="M42" s="1925"/>
    </row>
    <row r="43" spans="1:13">
      <c r="A43" s="308" t="s">
        <v>639</v>
      </c>
      <c r="B43" s="308"/>
      <c r="C43" s="1704">
        <v>17.611999999999998</v>
      </c>
      <c r="D43" s="307"/>
      <c r="E43" s="1704">
        <v>8.8330000000000002</v>
      </c>
      <c r="F43" s="307"/>
      <c r="G43" s="1704">
        <v>13.509</v>
      </c>
      <c r="H43" s="307"/>
      <c r="I43" s="1704">
        <v>0</v>
      </c>
      <c r="J43" s="307"/>
      <c r="K43" s="1705">
        <f t="shared" si="2"/>
        <v>12.936</v>
      </c>
      <c r="L43" s="1268"/>
      <c r="M43" s="1925"/>
    </row>
    <row r="44" spans="1:13">
      <c r="A44" s="308" t="s">
        <v>640</v>
      </c>
      <c r="B44" s="308"/>
      <c r="C44" s="1704">
        <v>156.08099999999999</v>
      </c>
      <c r="D44" s="307"/>
      <c r="E44" s="1704">
        <v>1.857</v>
      </c>
      <c r="F44" s="307"/>
      <c r="G44" s="1704">
        <v>6.181</v>
      </c>
      <c r="H44" s="307"/>
      <c r="I44" s="1704">
        <v>0</v>
      </c>
      <c r="J44" s="307"/>
      <c r="K44" s="1705">
        <f t="shared" si="2"/>
        <v>151.75700000000001</v>
      </c>
      <c r="L44" s="1268"/>
      <c r="M44" s="1925"/>
    </row>
    <row r="45" spans="1:13">
      <c r="A45" s="308" t="s">
        <v>641</v>
      </c>
      <c r="B45" s="308"/>
      <c r="C45" s="1704">
        <v>14.801</v>
      </c>
      <c r="D45" s="307"/>
      <c r="E45" s="1704">
        <v>2.125</v>
      </c>
      <c r="F45" s="307"/>
      <c r="G45" s="1704">
        <v>2.7320000000000002</v>
      </c>
      <c r="H45" s="307"/>
      <c r="I45" s="1704">
        <v>-1.782</v>
      </c>
      <c r="J45" s="307"/>
      <c r="K45" s="1705">
        <f t="shared" si="2"/>
        <v>12.412000000000001</v>
      </c>
      <c r="L45" s="1268"/>
      <c r="M45" s="1925"/>
    </row>
    <row r="46" spans="1:13">
      <c r="A46" s="308" t="s">
        <v>642</v>
      </c>
      <c r="B46" s="308"/>
      <c r="C46" s="1704">
        <v>12.747999999999999</v>
      </c>
      <c r="D46" s="307"/>
      <c r="E46" s="1704">
        <v>4.8000000000000001E-2</v>
      </c>
      <c r="F46" s="307"/>
      <c r="G46" s="1704">
        <v>11.224</v>
      </c>
      <c r="H46" s="307"/>
      <c r="I46" s="1704">
        <v>4.0819999999999999</v>
      </c>
      <c r="J46" s="307"/>
      <c r="K46" s="1705">
        <f t="shared" si="2"/>
        <v>5.6539999999999999</v>
      </c>
      <c r="L46" s="1268"/>
      <c r="M46" s="1925"/>
    </row>
    <row r="47" spans="1:13">
      <c r="A47" s="308" t="s">
        <v>643</v>
      </c>
      <c r="B47" s="308"/>
      <c r="C47" s="1704">
        <v>20.100999999999999</v>
      </c>
      <c r="D47" s="307"/>
      <c r="E47" s="1704">
        <v>1.2829999999999999</v>
      </c>
      <c r="F47" s="307"/>
      <c r="G47" s="1704">
        <v>0.63600000000000001</v>
      </c>
      <c r="H47" s="307"/>
      <c r="I47" s="1704">
        <v>0</v>
      </c>
      <c r="J47" s="307"/>
      <c r="K47" s="1705">
        <f t="shared" si="2"/>
        <v>20.748000000000001</v>
      </c>
      <c r="L47" s="1268"/>
      <c r="M47" s="1925"/>
    </row>
    <row r="48" spans="1:13">
      <c r="A48" s="309" t="s">
        <v>644</v>
      </c>
      <c r="B48" s="308"/>
      <c r="C48" s="1704">
        <v>0.59499999999999997</v>
      </c>
      <c r="D48" s="307"/>
      <c r="E48" s="1704">
        <v>2E-3</v>
      </c>
      <c r="F48" s="307"/>
      <c r="G48" s="1704">
        <v>3.0000000000000001E-3</v>
      </c>
      <c r="H48" s="307"/>
      <c r="I48" s="1704">
        <v>0</v>
      </c>
      <c r="J48" s="307"/>
      <c r="K48" s="1705">
        <f t="shared" si="2"/>
        <v>0.59399999999999997</v>
      </c>
      <c r="L48" s="1268"/>
      <c r="M48" s="1925"/>
    </row>
    <row r="49" spans="1:13">
      <c r="A49" s="308" t="s">
        <v>645</v>
      </c>
      <c r="B49" s="308"/>
      <c r="C49" s="1704">
        <v>1050.0730000000001</v>
      </c>
      <c r="D49" s="307"/>
      <c r="E49" s="1704">
        <v>560.99799999999993</v>
      </c>
      <c r="F49" s="307"/>
      <c r="G49" s="1704">
        <v>216.64699999999999</v>
      </c>
      <c r="H49" s="307"/>
      <c r="I49" s="1704">
        <v>17.983000000000001</v>
      </c>
      <c r="J49" s="307"/>
      <c r="K49" s="1705">
        <f t="shared" si="2"/>
        <v>1412.4069999999999</v>
      </c>
      <c r="L49" s="1268"/>
      <c r="M49" s="1925"/>
    </row>
    <row r="50" spans="1:13">
      <c r="A50" s="308" t="s">
        <v>646</v>
      </c>
      <c r="B50" s="308"/>
      <c r="C50" s="1704">
        <v>-32.539000000000001</v>
      </c>
      <c r="D50" s="307"/>
      <c r="E50" s="1704">
        <v>2.1930000000000001</v>
      </c>
      <c r="F50" s="307"/>
      <c r="G50" s="1704">
        <v>5.4320000000000004</v>
      </c>
      <c r="H50" s="307"/>
      <c r="I50" s="1704">
        <v>0</v>
      </c>
      <c r="J50" s="307"/>
      <c r="K50" s="1705">
        <f t="shared" si="2"/>
        <v>-35.777999999999999</v>
      </c>
      <c r="L50" s="1268"/>
      <c r="M50" s="1925"/>
    </row>
    <row r="51" spans="1:13">
      <c r="A51" s="308" t="s">
        <v>647</v>
      </c>
      <c r="B51" s="308"/>
      <c r="C51" s="1704">
        <v>8.5000000000000006E-2</v>
      </c>
      <c r="D51" s="307"/>
      <c r="E51" s="1704">
        <v>0</v>
      </c>
      <c r="F51" s="307"/>
      <c r="G51" s="1704">
        <v>0</v>
      </c>
      <c r="H51" s="307"/>
      <c r="I51" s="1704">
        <v>0</v>
      </c>
      <c r="J51" s="307"/>
      <c r="K51" s="1705">
        <f t="shared" si="2"/>
        <v>8.5000000000000006E-2</v>
      </c>
      <c r="L51" s="1268"/>
      <c r="M51" s="1925"/>
    </row>
    <row r="52" spans="1:13">
      <c r="A52" s="308" t="s">
        <v>648</v>
      </c>
      <c r="B52" s="308"/>
      <c r="C52" s="1704">
        <v>14.932</v>
      </c>
      <c r="D52" s="307"/>
      <c r="E52" s="1704">
        <v>0.255</v>
      </c>
      <c r="F52" s="307"/>
      <c r="G52" s="1704">
        <v>8.6999999999999994E-2</v>
      </c>
      <c r="H52" s="307"/>
      <c r="I52" s="1704">
        <v>0</v>
      </c>
      <c r="J52" s="307"/>
      <c r="K52" s="1705">
        <f t="shared" si="2"/>
        <v>15.1</v>
      </c>
      <c r="L52" s="1268"/>
      <c r="M52" s="1925"/>
    </row>
    <row r="53" spans="1:13">
      <c r="A53" s="308" t="s">
        <v>649</v>
      </c>
      <c r="B53" s="308"/>
      <c r="C53" s="1704">
        <v>0</v>
      </c>
      <c r="D53" s="307"/>
      <c r="E53" s="1704">
        <v>0</v>
      </c>
      <c r="F53" s="307"/>
      <c r="G53" s="1704">
        <v>0</v>
      </c>
      <c r="H53" s="307"/>
      <c r="I53" s="1704">
        <v>0</v>
      </c>
      <c r="J53" s="307"/>
      <c r="K53" s="1705">
        <f t="shared" si="2"/>
        <v>0</v>
      </c>
      <c r="L53" s="1268"/>
      <c r="M53" s="1925"/>
    </row>
    <row r="54" spans="1:13">
      <c r="A54" s="309" t="s">
        <v>650</v>
      </c>
      <c r="B54" s="308"/>
      <c r="C54" s="1704">
        <v>0.53</v>
      </c>
      <c r="D54" s="307"/>
      <c r="E54" s="1704">
        <v>1E-3</v>
      </c>
      <c r="F54" s="307"/>
      <c r="G54" s="1704">
        <v>0</v>
      </c>
      <c r="H54" s="307"/>
      <c r="I54" s="1704">
        <v>0</v>
      </c>
      <c r="J54" s="307"/>
      <c r="K54" s="1705">
        <f t="shared" si="2"/>
        <v>0.53100000000000003</v>
      </c>
      <c r="L54" s="1268"/>
      <c r="M54" s="1925"/>
    </row>
    <row r="55" spans="1:13">
      <c r="A55" s="309" t="s">
        <v>651</v>
      </c>
      <c r="B55" s="308"/>
      <c r="C55" s="1704">
        <v>0</v>
      </c>
      <c r="D55" s="307"/>
      <c r="E55" s="1704">
        <v>0</v>
      </c>
      <c r="F55" s="307"/>
      <c r="G55" s="1704">
        <v>0</v>
      </c>
      <c r="H55" s="307"/>
      <c r="I55" s="1704">
        <v>0</v>
      </c>
      <c r="J55" s="307"/>
      <c r="K55" s="1705">
        <f t="shared" si="2"/>
        <v>0</v>
      </c>
      <c r="L55" s="1268"/>
      <c r="M55" s="1925"/>
    </row>
    <row r="56" spans="1:13">
      <c r="A56" s="309" t="s">
        <v>1515</v>
      </c>
      <c r="B56" s="308"/>
      <c r="C56" s="1704">
        <v>0</v>
      </c>
      <c r="D56" s="307"/>
      <c r="E56" s="1704">
        <v>0.82699999999999996</v>
      </c>
      <c r="F56" s="307"/>
      <c r="G56" s="1704">
        <v>0</v>
      </c>
      <c r="H56" s="307"/>
      <c r="I56" s="1704">
        <v>0</v>
      </c>
      <c r="J56" s="307"/>
      <c r="K56" s="1705">
        <f t="shared" si="2"/>
        <v>0.82699999999999996</v>
      </c>
      <c r="L56" s="1268"/>
      <c r="M56" s="1925"/>
    </row>
    <row r="57" spans="1:13">
      <c r="A57" s="309" t="s">
        <v>652</v>
      </c>
      <c r="B57" s="308"/>
      <c r="C57" s="1704">
        <v>0.16300000000000001</v>
      </c>
      <c r="D57" s="307"/>
      <c r="E57" s="1704">
        <v>1E-3</v>
      </c>
      <c r="F57" s="307"/>
      <c r="G57" s="1704">
        <v>0</v>
      </c>
      <c r="H57" s="307"/>
      <c r="I57" s="1704">
        <v>0</v>
      </c>
      <c r="J57" s="307"/>
      <c r="K57" s="1705">
        <f>ROUND(SUM(C57)+SUM(E57)-SUM(G57)+SUM(I57),3)</f>
        <v>0.16400000000000001</v>
      </c>
      <c r="L57" s="1268"/>
      <c r="M57" s="1925"/>
    </row>
    <row r="58" spans="1:13">
      <c r="A58" s="309" t="s">
        <v>653</v>
      </c>
      <c r="B58" s="308"/>
      <c r="C58" s="1704">
        <v>6328.8040000000001</v>
      </c>
      <c r="D58" s="307"/>
      <c r="E58" s="1704">
        <v>343.31700000000001</v>
      </c>
      <c r="F58" s="307"/>
      <c r="G58" s="1704">
        <v>434.36200000000002</v>
      </c>
      <c r="H58" s="307"/>
      <c r="I58" s="1704">
        <v>37.906999999999996</v>
      </c>
      <c r="J58" s="307"/>
      <c r="K58" s="1705">
        <f t="shared" si="2"/>
        <v>6275.6660000000002</v>
      </c>
      <c r="L58" s="1268"/>
      <c r="M58" s="1925"/>
    </row>
    <row r="59" spans="1:13">
      <c r="A59" s="308" t="s">
        <v>654</v>
      </c>
      <c r="B59" s="308"/>
      <c r="C59" s="1704">
        <v>72.843000000000004</v>
      </c>
      <c r="D59" s="307"/>
      <c r="E59" s="1704">
        <v>0.24199999999999999</v>
      </c>
      <c r="F59" s="307"/>
      <c r="G59" s="1704">
        <v>9.0239999999999991</v>
      </c>
      <c r="H59" s="307"/>
      <c r="I59" s="1704">
        <v>0</v>
      </c>
      <c r="J59" s="307"/>
      <c r="K59" s="1705">
        <f t="shared" si="2"/>
        <v>64.061000000000007</v>
      </c>
      <c r="L59" s="1268"/>
      <c r="M59" s="1925"/>
    </row>
    <row r="60" spans="1:13">
      <c r="A60" s="308"/>
      <c r="B60" s="308"/>
      <c r="C60" s="1704"/>
      <c r="D60" s="307"/>
      <c r="E60" s="1704"/>
      <c r="F60" s="307"/>
      <c r="G60" s="1704"/>
      <c r="H60" s="307"/>
      <c r="I60" s="1704"/>
      <c r="J60" s="307"/>
      <c r="K60" s="1705"/>
      <c r="L60" s="1268"/>
      <c r="M60" s="1925"/>
    </row>
    <row r="61" spans="1:13">
      <c r="A61" s="308"/>
      <c r="B61" s="308"/>
      <c r="C61" s="1704"/>
      <c r="D61" s="307"/>
      <c r="E61" s="1704"/>
      <c r="F61" s="307"/>
      <c r="G61" s="1704"/>
      <c r="H61" s="307"/>
      <c r="I61" s="1704"/>
      <c r="J61" s="307"/>
      <c r="K61" s="1705"/>
      <c r="L61" s="1268"/>
      <c r="M61" s="1925"/>
    </row>
    <row r="62" spans="1:13">
      <c r="A62" s="132" t="s">
        <v>655</v>
      </c>
      <c r="B62" s="308"/>
      <c r="C62" s="1704"/>
      <c r="D62" s="307"/>
      <c r="E62" s="1704"/>
      <c r="F62" s="307"/>
      <c r="G62" s="1704"/>
      <c r="H62" s="307"/>
      <c r="I62" s="1704"/>
      <c r="J62" s="307"/>
      <c r="K62" s="1705"/>
      <c r="L62" s="1268"/>
      <c r="M62" s="1925"/>
    </row>
    <row r="63" spans="1:13">
      <c r="A63" s="308" t="s">
        <v>656</v>
      </c>
      <c r="B63" s="307"/>
      <c r="C63" s="1704">
        <v>6.3E-2</v>
      </c>
      <c r="D63" s="307"/>
      <c r="E63" s="1704">
        <v>0</v>
      </c>
      <c r="F63" s="307"/>
      <c r="G63" s="1704">
        <v>0</v>
      </c>
      <c r="H63" s="307"/>
      <c r="I63" s="1704">
        <v>0</v>
      </c>
      <c r="J63" s="307"/>
      <c r="K63" s="1705">
        <f>ROUND(SUM(C63)+SUM(E63)-SUM(G63)+SUM(I63),3)</f>
        <v>6.3E-2</v>
      </c>
      <c r="L63" s="1268"/>
      <c r="M63" s="1925"/>
    </row>
    <row r="64" spans="1:13">
      <c r="A64" s="308" t="s">
        <v>657</v>
      </c>
      <c r="B64" s="308"/>
      <c r="C64" s="1704">
        <v>1868.5360000000001</v>
      </c>
      <c r="D64" s="307"/>
      <c r="E64" s="1704">
        <v>400.93200000000002</v>
      </c>
      <c r="F64" s="307"/>
      <c r="G64" s="1704">
        <v>758.79</v>
      </c>
      <c r="H64" s="307"/>
      <c r="I64" s="1704">
        <v>616.92999999999995</v>
      </c>
      <c r="J64" s="307"/>
      <c r="K64" s="1705">
        <f>ROUND(SUM(C64)+SUM(E64)-SUM(G64)+SUM(I64),3)</f>
        <v>2127.6080000000002</v>
      </c>
      <c r="L64" s="1268"/>
      <c r="M64" s="1925"/>
    </row>
    <row r="65" spans="1:13">
      <c r="A65" s="309" t="s">
        <v>658</v>
      </c>
      <c r="B65" s="308"/>
      <c r="C65" s="1704">
        <v>8.9619999999999997</v>
      </c>
      <c r="D65" s="307"/>
      <c r="E65" s="1704">
        <v>8.6999999999999994E-2</v>
      </c>
      <c r="F65" s="307"/>
      <c r="G65" s="1704">
        <v>0.34599999999999997</v>
      </c>
      <c r="H65" s="307"/>
      <c r="I65" s="1704">
        <v>0</v>
      </c>
      <c r="J65" s="307"/>
      <c r="K65" s="1705">
        <f>ROUND(SUM(C65)+SUM(E65)-SUM(G65)+SUM(I65),3)</f>
        <v>8.7029999999999994</v>
      </c>
      <c r="L65" s="1268"/>
      <c r="M65" s="1925"/>
    </row>
    <row r="66" spans="1:13">
      <c r="A66" s="308" t="s">
        <v>659</v>
      </c>
      <c r="B66" s="308"/>
      <c r="C66" s="1704">
        <v>0.70399999999999996</v>
      </c>
      <c r="D66" s="307"/>
      <c r="E66" s="1704">
        <v>0.40200000000000002</v>
      </c>
      <c r="F66" s="307"/>
      <c r="G66" s="1704">
        <v>0.254</v>
      </c>
      <c r="H66" s="307"/>
      <c r="I66" s="1704">
        <v>0</v>
      </c>
      <c r="J66" s="307"/>
      <c r="K66" s="1705">
        <f>ROUND(SUM(C66)+SUM(E66)-SUM(G66)+SUM(I66),3)</f>
        <v>0.85199999999999998</v>
      </c>
      <c r="L66" s="1268"/>
      <c r="M66" s="1925"/>
    </row>
    <row r="67" spans="1:13">
      <c r="A67" s="308" t="s">
        <v>660</v>
      </c>
      <c r="B67" s="308"/>
      <c r="C67" s="1928"/>
      <c r="D67"/>
      <c r="E67" s="1705"/>
      <c r="F67" s="308"/>
      <c r="G67" s="1705"/>
      <c r="H67" s="308"/>
      <c r="I67" s="1709"/>
      <c r="J67" s="308"/>
      <c r="K67" s="1705" t="s">
        <v>103</v>
      </c>
      <c r="L67" s="1268"/>
      <c r="M67" s="1925"/>
    </row>
    <row r="68" spans="1:13">
      <c r="A68" s="308" t="s">
        <v>661</v>
      </c>
      <c r="B68" s="308"/>
      <c r="C68" s="1704">
        <v>367.54300000000001</v>
      </c>
      <c r="D68" s="307"/>
      <c r="E68" s="1704">
        <v>10.507999999999999</v>
      </c>
      <c r="F68" s="307"/>
      <c r="G68" s="1704">
        <v>0.81499999999999995</v>
      </c>
      <c r="H68" s="307"/>
      <c r="I68" s="1704">
        <v>0</v>
      </c>
      <c r="J68" s="307"/>
      <c r="K68" s="1705">
        <f t="shared" ref="K68:K73" si="3">ROUND(SUM(C68)+SUM(E68)-SUM(G68)+SUM(I68),3)</f>
        <v>377.23599999999999</v>
      </c>
      <c r="L68" s="1268"/>
      <c r="M68" s="1925"/>
    </row>
    <row r="69" spans="1:13">
      <c r="A69" s="308" t="s">
        <v>662</v>
      </c>
      <c r="B69" s="134"/>
      <c r="C69" s="1704">
        <v>0.72099999999999997</v>
      </c>
      <c r="D69" s="307"/>
      <c r="E69" s="1704">
        <v>2E-3</v>
      </c>
      <c r="F69" s="307"/>
      <c r="G69" s="1704">
        <v>3.1E-2</v>
      </c>
      <c r="H69" s="307"/>
      <c r="I69" s="1704">
        <v>0</v>
      </c>
      <c r="J69" s="307"/>
      <c r="K69" s="1705">
        <f t="shared" si="3"/>
        <v>0.69199999999999995</v>
      </c>
      <c r="L69" s="1268"/>
      <c r="M69" s="1925"/>
    </row>
    <row r="70" spans="1:13">
      <c r="A70" s="308" t="s">
        <v>663</v>
      </c>
      <c r="B70" s="308"/>
      <c r="C70" s="1704">
        <v>2.9000000000000001E-2</v>
      </c>
      <c r="D70" s="307"/>
      <c r="E70" s="1704">
        <v>0</v>
      </c>
      <c r="F70" s="307"/>
      <c r="G70" s="1704">
        <v>0</v>
      </c>
      <c r="H70" s="307"/>
      <c r="I70" s="1704">
        <v>0</v>
      </c>
      <c r="J70" s="307"/>
      <c r="K70" s="1705">
        <f t="shared" si="3"/>
        <v>2.9000000000000001E-2</v>
      </c>
      <c r="L70" s="1268"/>
      <c r="M70" s="1925"/>
    </row>
    <row r="71" spans="1:13">
      <c r="A71" s="309" t="s">
        <v>664</v>
      </c>
      <c r="B71" s="308"/>
      <c r="C71" s="1704">
        <v>3.13</v>
      </c>
      <c r="D71" s="307"/>
      <c r="E71" s="1704">
        <v>1.0999999999999999E-2</v>
      </c>
      <c r="F71" s="307"/>
      <c r="G71" s="1704">
        <v>2.101</v>
      </c>
      <c r="H71" s="307"/>
      <c r="I71" s="1704">
        <v>0</v>
      </c>
      <c r="J71" s="307"/>
      <c r="K71" s="1705">
        <f t="shared" si="3"/>
        <v>1.04</v>
      </c>
      <c r="L71" s="1268"/>
      <c r="M71" s="1925"/>
    </row>
    <row r="72" spans="1:13">
      <c r="A72" s="308" t="s">
        <v>665</v>
      </c>
      <c r="B72" s="308"/>
      <c r="C72" s="1704">
        <v>-26.893000000000001</v>
      </c>
      <c r="D72" s="307"/>
      <c r="E72" s="1704">
        <v>0</v>
      </c>
      <c r="F72" s="307"/>
      <c r="G72" s="1704">
        <v>0.29499999999999998</v>
      </c>
      <c r="H72" s="307"/>
      <c r="I72" s="1704">
        <v>0</v>
      </c>
      <c r="J72" s="307"/>
      <c r="K72" s="1705">
        <f t="shared" si="3"/>
        <v>-27.187999999999999</v>
      </c>
      <c r="L72" s="1268"/>
      <c r="M72" s="1925"/>
    </row>
    <row r="73" spans="1:13">
      <c r="A73" s="308" t="s">
        <v>666</v>
      </c>
      <c r="B73" s="308"/>
      <c r="C73" s="1704">
        <v>0.247</v>
      </c>
      <c r="D73" s="307"/>
      <c r="E73" s="1704">
        <v>1E-3</v>
      </c>
      <c r="F73" s="307"/>
      <c r="G73" s="1704">
        <v>0</v>
      </c>
      <c r="H73" s="307"/>
      <c r="I73" s="1704">
        <v>0</v>
      </c>
      <c r="J73" s="307"/>
      <c r="K73" s="1705">
        <f t="shared" si="3"/>
        <v>0.248</v>
      </c>
      <c r="L73" s="1268"/>
      <c r="M73" s="1925"/>
    </row>
    <row r="74" spans="1:13">
      <c r="A74" s="308" t="s">
        <v>667</v>
      </c>
      <c r="B74" s="308"/>
      <c r="C74" s="1928"/>
      <c r="D74"/>
      <c r="E74" s="1705"/>
      <c r="F74" s="308"/>
      <c r="G74" s="1705"/>
      <c r="H74" s="308"/>
      <c r="I74" s="1705"/>
      <c r="J74" s="308"/>
      <c r="K74" s="1705"/>
      <c r="L74" s="1268"/>
      <c r="M74" s="1925"/>
    </row>
    <row r="75" spans="1:13">
      <c r="A75" s="308" t="s">
        <v>668</v>
      </c>
      <c r="B75" s="308"/>
      <c r="C75" s="1704">
        <v>1E-3</v>
      </c>
      <c r="D75" s="307"/>
      <c r="E75" s="1704">
        <v>0</v>
      </c>
      <c r="F75" s="307"/>
      <c r="G75" s="1704">
        <v>0</v>
      </c>
      <c r="H75" s="307"/>
      <c r="I75" s="1704">
        <v>0</v>
      </c>
      <c r="J75" s="307"/>
      <c r="K75" s="1705">
        <f t="shared" ref="K75:K90" si="4">ROUND(SUM(C75)+SUM(E75)-SUM(G75)+SUM(I75),3)</f>
        <v>1E-3</v>
      </c>
      <c r="L75" s="1268"/>
      <c r="M75" s="1925"/>
    </row>
    <row r="76" spans="1:13">
      <c r="A76" s="308" t="s">
        <v>669</v>
      </c>
      <c r="B76" s="308"/>
      <c r="C76" s="1704">
        <v>-39.808999999999997</v>
      </c>
      <c r="D76" s="307"/>
      <c r="E76" s="1704">
        <v>0</v>
      </c>
      <c r="F76" s="307"/>
      <c r="G76" s="1704">
        <v>6.6079999999999997</v>
      </c>
      <c r="H76" s="307"/>
      <c r="I76" s="1704">
        <v>0</v>
      </c>
      <c r="J76" s="307"/>
      <c r="K76" s="1705">
        <f t="shared" si="4"/>
        <v>-46.417000000000002</v>
      </c>
      <c r="L76" s="1268"/>
      <c r="M76" s="1925"/>
    </row>
    <row r="77" spans="1:13">
      <c r="A77" s="308" t="s">
        <v>670</v>
      </c>
      <c r="B77" s="308"/>
      <c r="C77" s="1704">
        <v>24.056999999999999</v>
      </c>
      <c r="D77" s="307"/>
      <c r="E77" s="1704">
        <v>6.0350000000000001</v>
      </c>
      <c r="F77" s="307"/>
      <c r="G77" s="1704">
        <v>8.9570000000000007</v>
      </c>
      <c r="H77" s="307"/>
      <c r="I77" s="1704">
        <v>0</v>
      </c>
      <c r="J77" s="307"/>
      <c r="K77" s="1705">
        <f t="shared" si="4"/>
        <v>21.135000000000002</v>
      </c>
      <c r="L77" s="1268"/>
      <c r="M77" s="1925"/>
    </row>
    <row r="78" spans="1:13">
      <c r="A78" s="308" t="s">
        <v>671</v>
      </c>
      <c r="B78" s="308"/>
      <c r="C78" s="1704">
        <v>0.41</v>
      </c>
      <c r="D78" s="307"/>
      <c r="E78" s="1704">
        <v>4.0000000000000001E-3</v>
      </c>
      <c r="F78" s="307"/>
      <c r="G78" s="1704">
        <v>0</v>
      </c>
      <c r="H78" s="307"/>
      <c r="I78" s="1704">
        <v>0</v>
      </c>
      <c r="J78" s="307"/>
      <c r="K78" s="1705">
        <f t="shared" si="4"/>
        <v>0.41399999999999998</v>
      </c>
      <c r="L78" s="1268"/>
      <c r="M78" s="1925"/>
    </row>
    <row r="79" spans="1:13">
      <c r="A79" s="309" t="s">
        <v>672</v>
      </c>
      <c r="B79" s="308"/>
      <c r="C79" s="1704">
        <v>722.25800000000004</v>
      </c>
      <c r="D79" s="307"/>
      <c r="E79" s="1704">
        <v>27.052</v>
      </c>
      <c r="F79" s="307"/>
      <c r="G79" s="1704">
        <v>21.456</v>
      </c>
      <c r="H79" s="307"/>
      <c r="I79" s="1704">
        <v>-15.860999999999999</v>
      </c>
      <c r="J79" s="307"/>
      <c r="K79" s="1705">
        <f t="shared" si="4"/>
        <v>711.99300000000005</v>
      </c>
      <c r="L79" s="1268"/>
      <c r="M79" s="1925"/>
    </row>
    <row r="80" spans="1:13">
      <c r="A80" s="308" t="s">
        <v>673</v>
      </c>
      <c r="B80" s="308"/>
      <c r="C80" s="1704">
        <v>63.402000000000001</v>
      </c>
      <c r="D80" s="307"/>
      <c r="E80" s="1704">
        <v>0.75900000000000001</v>
      </c>
      <c r="F80" s="307"/>
      <c r="G80" s="1704">
        <v>8.1000000000000003E-2</v>
      </c>
      <c r="H80" s="307"/>
      <c r="I80" s="1704">
        <v>-5.5</v>
      </c>
      <c r="J80" s="307"/>
      <c r="K80" s="1705">
        <f t="shared" si="4"/>
        <v>58.58</v>
      </c>
      <c r="L80" s="1268"/>
      <c r="M80" s="1925"/>
    </row>
    <row r="81" spans="1:13">
      <c r="A81" s="309" t="s">
        <v>1518</v>
      </c>
      <c r="B81" s="308"/>
      <c r="C81" s="1704">
        <v>138.745</v>
      </c>
      <c r="D81" s="307"/>
      <c r="E81" s="1704">
        <v>0.439</v>
      </c>
      <c r="F81" s="307"/>
      <c r="G81" s="1704">
        <v>13.532</v>
      </c>
      <c r="H81" s="307"/>
      <c r="I81" s="1704">
        <v>62.119</v>
      </c>
      <c r="J81" s="307"/>
      <c r="K81" s="1705">
        <f t="shared" si="4"/>
        <v>187.77099999999999</v>
      </c>
      <c r="L81" s="1268"/>
      <c r="M81" s="1925"/>
    </row>
    <row r="82" spans="1:13">
      <c r="A82" s="309" t="s">
        <v>1519</v>
      </c>
      <c r="B82" s="308"/>
      <c r="C82" s="1704">
        <v>111.139</v>
      </c>
      <c r="D82" s="307"/>
      <c r="E82" s="1704">
        <v>29.094999999999999</v>
      </c>
      <c r="F82" s="307"/>
      <c r="G82" s="1704">
        <v>4.069</v>
      </c>
      <c r="H82" s="307"/>
      <c r="I82" s="1704">
        <v>0</v>
      </c>
      <c r="J82" s="307"/>
      <c r="K82" s="1705">
        <f t="shared" si="4"/>
        <v>136.16499999999999</v>
      </c>
      <c r="L82" s="1268"/>
      <c r="M82" s="1925"/>
    </row>
    <row r="83" spans="1:13">
      <c r="A83" s="309" t="s">
        <v>1522</v>
      </c>
      <c r="B83" s="308"/>
      <c r="C83" s="1704">
        <v>4.7300000000000004</v>
      </c>
      <c r="D83" s="307"/>
      <c r="E83" s="1704">
        <v>0.12</v>
      </c>
      <c r="F83" s="307"/>
      <c r="G83" s="1704">
        <v>0.54</v>
      </c>
      <c r="H83" s="307"/>
      <c r="I83" s="1704">
        <v>0</v>
      </c>
      <c r="J83" s="307"/>
      <c r="K83" s="1705">
        <f t="shared" si="4"/>
        <v>4.3099999999999996</v>
      </c>
      <c r="L83" s="1268"/>
      <c r="M83" s="1925"/>
    </row>
    <row r="84" spans="1:13">
      <c r="A84" s="309" t="s">
        <v>674</v>
      </c>
      <c r="B84" s="308"/>
      <c r="C84" s="1704">
        <v>341.72500000000002</v>
      </c>
      <c r="D84" s="307"/>
      <c r="E84" s="1704">
        <v>1.5850000000000002</v>
      </c>
      <c r="F84" s="307"/>
      <c r="G84" s="1704">
        <v>10.26</v>
      </c>
      <c r="H84" s="307"/>
      <c r="I84" s="1704">
        <v>-2.7E-2</v>
      </c>
      <c r="J84" s="307"/>
      <c r="K84" s="1705">
        <f t="shared" si="4"/>
        <v>333.02300000000002</v>
      </c>
      <c r="L84" s="1268"/>
      <c r="M84" s="1925"/>
    </row>
    <row r="85" spans="1:13">
      <c r="A85" s="309" t="s">
        <v>675</v>
      </c>
      <c r="B85" s="308"/>
      <c r="C85" s="1704">
        <v>175.19800000000001</v>
      </c>
      <c r="D85" s="307"/>
      <c r="E85" s="1704">
        <v>54.371000000000002</v>
      </c>
      <c r="F85" s="307"/>
      <c r="G85" s="1704">
        <v>7.6230000000000002</v>
      </c>
      <c r="H85" s="307"/>
      <c r="I85" s="1704">
        <v>0</v>
      </c>
      <c r="J85" s="307"/>
      <c r="K85" s="1705">
        <f>ROUND(SUM(C85)+SUM(E85)-SUM(G85)+SUM(I85),3)</f>
        <v>221.946</v>
      </c>
      <c r="L85" s="1268"/>
      <c r="M85" s="1925"/>
    </row>
    <row r="86" spans="1:13">
      <c r="A86" s="309" t="s">
        <v>676</v>
      </c>
      <c r="B86" s="308"/>
      <c r="C86" s="1704">
        <v>535.375</v>
      </c>
      <c r="D86" s="307"/>
      <c r="E86" s="1704">
        <v>1.7040000000000002</v>
      </c>
      <c r="F86" s="307"/>
      <c r="G86" s="1704">
        <v>0</v>
      </c>
      <c r="H86" s="307"/>
      <c r="I86" s="1704">
        <v>0</v>
      </c>
      <c r="J86" s="307"/>
      <c r="K86" s="1705">
        <f t="shared" si="4"/>
        <v>537.07899999999995</v>
      </c>
      <c r="L86" s="1268"/>
      <c r="M86" s="1925"/>
    </row>
    <row r="87" spans="1:13">
      <c r="A87" s="309" t="s">
        <v>1521</v>
      </c>
      <c r="B87" s="308"/>
      <c r="C87" s="1704">
        <v>0.17100000000000001</v>
      </c>
      <c r="D87" s="307"/>
      <c r="E87" s="1704">
        <v>1E-3</v>
      </c>
      <c r="F87" s="307"/>
      <c r="G87" s="1704">
        <v>0</v>
      </c>
      <c r="H87" s="307"/>
      <c r="I87" s="1704">
        <v>0</v>
      </c>
      <c r="J87" s="307"/>
      <c r="K87" s="1705">
        <f t="shared" si="4"/>
        <v>0.17199999999999999</v>
      </c>
      <c r="L87" s="1268"/>
      <c r="M87" s="1925"/>
    </row>
    <row r="88" spans="1:13">
      <c r="A88" s="309" t="s">
        <v>677</v>
      </c>
      <c r="B88" s="308"/>
      <c r="C88" s="1704">
        <v>11.919</v>
      </c>
      <c r="D88" s="307"/>
      <c r="E88" s="1704">
        <v>2.5609999999999999</v>
      </c>
      <c r="F88" s="307"/>
      <c r="G88" s="1704">
        <v>7.9000000000000001E-2</v>
      </c>
      <c r="H88" s="307"/>
      <c r="I88" s="1704">
        <v>0</v>
      </c>
      <c r="J88" s="307"/>
      <c r="K88" s="1705">
        <f>ROUND(SUM(C88)+SUM(E88)-SUM(G88)+SUM(I88),3)</f>
        <v>14.401</v>
      </c>
      <c r="L88" s="1268"/>
      <c r="M88" s="1925"/>
    </row>
    <row r="89" spans="1:13">
      <c r="A89" s="309" t="s">
        <v>678</v>
      </c>
      <c r="B89" s="308"/>
      <c r="C89" s="1704">
        <v>343.31599999999997</v>
      </c>
      <c r="D89" s="307"/>
      <c r="E89" s="1704">
        <v>38.962000000000003</v>
      </c>
      <c r="F89" s="307"/>
      <c r="G89" s="1704">
        <v>0</v>
      </c>
      <c r="H89" s="307"/>
      <c r="I89" s="1704">
        <v>0</v>
      </c>
      <c r="J89" s="307"/>
      <c r="K89" s="1705">
        <f>ROUND(SUM(C89)+SUM(E89)-SUM(G89)+SUM(I89),3)</f>
        <v>382.27800000000002</v>
      </c>
      <c r="L89" s="1268"/>
      <c r="M89" s="1925"/>
    </row>
    <row r="90" spans="1:13">
      <c r="A90" s="308" t="s">
        <v>679</v>
      </c>
      <c r="B90" s="308"/>
      <c r="C90" s="1704">
        <v>365.49799999999999</v>
      </c>
      <c r="D90" s="307"/>
      <c r="E90" s="1704">
        <v>5.6550000000000002</v>
      </c>
      <c r="F90" s="307"/>
      <c r="G90" s="1704">
        <v>0</v>
      </c>
      <c r="H90" s="307"/>
      <c r="I90" s="1704">
        <v>-31.007000000000001</v>
      </c>
      <c r="J90" s="307"/>
      <c r="K90" s="1705">
        <f t="shared" si="4"/>
        <v>340.14600000000002</v>
      </c>
      <c r="L90" s="1268"/>
      <c r="M90" s="1925"/>
    </row>
    <row r="91" spans="1:13">
      <c r="A91" s="131" t="s">
        <v>680</v>
      </c>
      <c r="B91" s="308"/>
      <c r="C91" s="1710">
        <f>ROUND(SUM(C27:C90),3)</f>
        <v>15627.575999999999</v>
      </c>
      <c r="D91" s="135"/>
      <c r="E91" s="1710">
        <f>ROUND(SUM(E27:E90),3)</f>
        <v>2803.598</v>
      </c>
      <c r="F91" s="135"/>
      <c r="G91" s="1710">
        <f>ROUND(SUM(G27:G90),3)</f>
        <v>2776.9740000000002</v>
      </c>
      <c r="H91" s="135"/>
      <c r="I91" s="1710">
        <f>ROUND(SUM(I27:I90),3)</f>
        <v>710.74599999999998</v>
      </c>
      <c r="J91" s="135"/>
      <c r="K91" s="1710">
        <f>ROUND(SUM(K27:K90),3)</f>
        <v>16364.946</v>
      </c>
      <c r="L91" s="1268"/>
      <c r="M91" s="1925" t="s">
        <v>103</v>
      </c>
    </row>
    <row r="92" spans="1:13" ht="11.25" customHeight="1">
      <c r="A92" s="308"/>
      <c r="B92" s="308"/>
      <c r="C92" s="308"/>
      <c r="D92" s="308"/>
      <c r="E92" s="308"/>
      <c r="F92" s="308"/>
      <c r="G92" s="308"/>
      <c r="H92" s="308"/>
      <c r="I92" s="308"/>
      <c r="J92" s="308"/>
      <c r="K92" s="308"/>
      <c r="L92" s="1268"/>
      <c r="M92" s="1925"/>
    </row>
    <row r="93" spans="1:13">
      <c r="A93" s="132" t="s">
        <v>681</v>
      </c>
      <c r="B93" s="308"/>
      <c r="C93" s="308"/>
      <c r="D93" s="308"/>
      <c r="E93" s="308"/>
      <c r="F93" s="308"/>
      <c r="G93" s="308"/>
      <c r="H93" s="308"/>
      <c r="I93" s="308"/>
      <c r="J93" s="308"/>
      <c r="K93" s="308"/>
      <c r="L93" s="1268"/>
      <c r="M93" s="1925"/>
    </row>
    <row r="94" spans="1:13">
      <c r="A94" s="308" t="s">
        <v>682</v>
      </c>
      <c r="B94" s="308"/>
      <c r="C94" s="1704">
        <v>-42.026000000000003</v>
      </c>
      <c r="D94" s="307"/>
      <c r="E94" s="1704">
        <v>443.52</v>
      </c>
      <c r="F94" s="307"/>
      <c r="G94" s="1704">
        <v>477.68900000000002</v>
      </c>
      <c r="H94" s="307"/>
      <c r="I94" s="1704">
        <v>-2.5999999999999999E-2</v>
      </c>
      <c r="J94" s="307"/>
      <c r="K94" s="1705">
        <f t="shared" ref="K94:K100" si="5">ROUND(SUM(C94)+SUM(E94)-SUM(G94)+SUM(I94),3)</f>
        <v>-76.221000000000004</v>
      </c>
      <c r="L94" s="1268"/>
      <c r="M94" s="1925"/>
    </row>
    <row r="95" spans="1:13">
      <c r="A95" s="308" t="s">
        <v>683</v>
      </c>
      <c r="B95" s="308"/>
      <c r="C95" s="1704">
        <v>8141.5839999999998</v>
      </c>
      <c r="D95" s="307"/>
      <c r="E95" s="1704">
        <v>11767.758</v>
      </c>
      <c r="F95" s="307"/>
      <c r="G95" s="1704">
        <v>7179.3230000000003</v>
      </c>
      <c r="H95" s="307"/>
      <c r="I95" s="1704">
        <v>-304.839</v>
      </c>
      <c r="J95" s="307"/>
      <c r="K95" s="1705">
        <f t="shared" si="5"/>
        <v>12425.18</v>
      </c>
      <c r="L95" s="1268"/>
      <c r="M95" s="1925"/>
    </row>
    <row r="96" spans="1:13">
      <c r="A96" s="308" t="s">
        <v>684</v>
      </c>
      <c r="B96" s="133"/>
      <c r="C96" s="1704">
        <v>-38.997999999999998</v>
      </c>
      <c r="D96" s="307"/>
      <c r="E96" s="1704">
        <v>619.54100000000005</v>
      </c>
      <c r="F96" s="307"/>
      <c r="G96" s="1704">
        <v>616.81100000000004</v>
      </c>
      <c r="H96" s="307"/>
      <c r="I96" s="1704">
        <v>-2.8420000000000001</v>
      </c>
      <c r="J96" s="307"/>
      <c r="K96" s="1705">
        <f t="shared" si="5"/>
        <v>-39.11</v>
      </c>
      <c r="L96" s="1268"/>
      <c r="M96" s="1925"/>
    </row>
    <row r="97" spans="1:15">
      <c r="A97" s="308" t="s">
        <v>685</v>
      </c>
      <c r="B97" s="308"/>
      <c r="C97" s="1704">
        <v>631.125</v>
      </c>
      <c r="D97" s="307"/>
      <c r="E97" s="1704">
        <v>656.12699999999995</v>
      </c>
      <c r="F97" s="307"/>
      <c r="G97" s="1704">
        <v>523.75</v>
      </c>
      <c r="H97" s="307"/>
      <c r="I97" s="1704">
        <v>-1.0069999999999999</v>
      </c>
      <c r="J97" s="307"/>
      <c r="K97" s="1705">
        <f t="shared" si="5"/>
        <v>762.495</v>
      </c>
      <c r="L97" s="1268"/>
      <c r="M97" s="1925"/>
    </row>
    <row r="98" spans="1:15">
      <c r="A98" s="308" t="s">
        <v>686</v>
      </c>
      <c r="B98" s="308"/>
      <c r="C98" s="1704">
        <v>140.05199999999999</v>
      </c>
      <c r="D98" s="307"/>
      <c r="E98" s="1704">
        <v>50.082000000000001</v>
      </c>
      <c r="F98" s="307"/>
      <c r="G98" s="1704">
        <v>55.89</v>
      </c>
      <c r="H98" s="307"/>
      <c r="I98" s="1704">
        <v>-12.568</v>
      </c>
      <c r="J98" s="307"/>
      <c r="K98" s="1705">
        <f t="shared" si="5"/>
        <v>121.676</v>
      </c>
      <c r="L98" s="1268"/>
      <c r="M98" s="1925"/>
    </row>
    <row r="99" spans="1:15">
      <c r="A99" s="308" t="s">
        <v>687</v>
      </c>
      <c r="B99" s="308"/>
      <c r="C99" s="1704">
        <v>-0.39700000000000002</v>
      </c>
      <c r="D99" s="307"/>
      <c r="E99" s="1704">
        <v>0</v>
      </c>
      <c r="F99" s="307"/>
      <c r="G99" s="1704">
        <v>0</v>
      </c>
      <c r="H99" s="307"/>
      <c r="I99" s="1704">
        <v>0</v>
      </c>
      <c r="J99" s="307"/>
      <c r="K99" s="1705">
        <f t="shared" si="5"/>
        <v>-0.39700000000000002</v>
      </c>
      <c r="L99" s="1268"/>
      <c r="M99" s="1925"/>
    </row>
    <row r="100" spans="1:15">
      <c r="A100" s="309" t="s">
        <v>688</v>
      </c>
      <c r="B100" s="308"/>
      <c r="C100" s="1704">
        <v>-9.4440000000000008</v>
      </c>
      <c r="D100" s="307"/>
      <c r="E100" s="1704">
        <v>33.618000000000002</v>
      </c>
      <c r="F100" s="307"/>
      <c r="G100" s="1704">
        <v>24.902000000000001</v>
      </c>
      <c r="H100" s="307"/>
      <c r="I100" s="1704">
        <v>-1.2430000000000001</v>
      </c>
      <c r="J100" s="307"/>
      <c r="K100" s="1705">
        <f t="shared" si="5"/>
        <v>-1.9710000000000001</v>
      </c>
      <c r="L100" s="1268"/>
      <c r="M100" s="1925"/>
    </row>
    <row r="101" spans="1:15">
      <c r="A101" s="131" t="s">
        <v>689</v>
      </c>
      <c r="B101" s="308"/>
      <c r="C101" s="1710">
        <f>ROUND(SUM(C94:C100),3)</f>
        <v>8821.8960000000006</v>
      </c>
      <c r="D101" s="135"/>
      <c r="E101" s="1710">
        <f>ROUND(SUM(E94:E100),3)</f>
        <v>13570.646000000001</v>
      </c>
      <c r="F101" s="135"/>
      <c r="G101" s="1710">
        <f>ROUND(SUM(G94:G100),3)</f>
        <v>8878.3649999999998</v>
      </c>
      <c r="H101" s="135"/>
      <c r="I101" s="1710">
        <f>ROUND(SUM(I94:I100),3)</f>
        <v>-322.52499999999998</v>
      </c>
      <c r="J101" s="135"/>
      <c r="K101" s="1710">
        <f>ROUND(SUM(K94:K100),3)</f>
        <v>13191.652</v>
      </c>
      <c r="L101" s="1268"/>
      <c r="M101" s="1925"/>
    </row>
    <row r="102" spans="1:15" ht="12" customHeight="1">
      <c r="A102" s="135"/>
      <c r="B102" s="308"/>
      <c r="C102" s="308"/>
      <c r="D102" s="308"/>
      <c r="E102" s="308"/>
      <c r="F102" s="308"/>
      <c r="G102" s="308"/>
      <c r="H102" s="308"/>
      <c r="I102" s="308"/>
      <c r="J102" s="308"/>
      <c r="K102" s="308"/>
      <c r="L102" s="1268"/>
      <c r="M102" s="1925"/>
    </row>
    <row r="103" spans="1:15">
      <c r="A103" s="826" t="s">
        <v>690</v>
      </c>
      <c r="B103" s="308"/>
      <c r="C103" s="1711">
        <f>C101+C91</f>
        <v>24449.472000000002</v>
      </c>
      <c r="D103" s="135"/>
      <c r="E103" s="1711">
        <f>E101+E91</f>
        <v>16374.244000000001</v>
      </c>
      <c r="F103" s="135"/>
      <c r="G103" s="1711">
        <f>G101+G91</f>
        <v>11655.339</v>
      </c>
      <c r="H103" s="135"/>
      <c r="I103" s="1711">
        <f>I101+I91</f>
        <v>388.221</v>
      </c>
      <c r="J103" s="135"/>
      <c r="K103" s="1711">
        <f>K91+K101</f>
        <v>29556.597999999998</v>
      </c>
      <c r="L103" s="1268"/>
      <c r="M103" s="1925"/>
    </row>
    <row r="104" spans="1:15" ht="10.5" customHeight="1">
      <c r="A104" s="827"/>
      <c r="B104" s="308"/>
      <c r="C104" s="308"/>
      <c r="D104" s="308"/>
      <c r="E104" s="308"/>
      <c r="F104" s="308"/>
      <c r="G104" s="308"/>
      <c r="H104" s="308"/>
      <c r="I104" s="308"/>
      <c r="J104" s="308"/>
      <c r="K104" s="308"/>
      <c r="L104" s="1268"/>
      <c r="M104" s="1925"/>
    </row>
    <row r="105" spans="1:15" ht="17.25">
      <c r="A105" s="132" t="s">
        <v>540</v>
      </c>
      <c r="B105" s="308"/>
      <c r="C105" s="308"/>
      <c r="D105" s="308"/>
      <c r="E105" s="1707"/>
      <c r="F105" s="1707"/>
      <c r="G105" s="1707"/>
      <c r="H105" s="1707"/>
      <c r="I105" s="1707"/>
      <c r="J105" s="133"/>
      <c r="K105" s="1707"/>
      <c r="L105" s="1268"/>
      <c r="M105" s="1925"/>
    </row>
    <row r="106" spans="1:15">
      <c r="A106" s="308" t="s">
        <v>691</v>
      </c>
      <c r="B106" s="308"/>
      <c r="C106" s="1704">
        <v>0</v>
      </c>
      <c r="D106" s="307"/>
      <c r="E106" s="1704">
        <v>0</v>
      </c>
      <c r="F106" s="307"/>
      <c r="G106" s="1704">
        <v>0</v>
      </c>
      <c r="H106" s="307"/>
      <c r="I106" s="1704">
        <v>0</v>
      </c>
      <c r="J106" s="307"/>
      <c r="K106" s="1705">
        <f t="shared" ref="K106:K111" si="6">ROUND(SUM(C106)+SUM(E106)-SUM(G106)+SUM(I106),3)</f>
        <v>0</v>
      </c>
      <c r="L106" s="1268"/>
      <c r="M106" s="1925"/>
    </row>
    <row r="107" spans="1:15">
      <c r="A107" s="308" t="s">
        <v>692</v>
      </c>
      <c r="B107" s="308"/>
      <c r="C107" s="1704">
        <v>66.766000000000005</v>
      </c>
      <c r="D107" s="307"/>
      <c r="E107" s="1704">
        <v>38.768999999999998</v>
      </c>
      <c r="F107" s="307"/>
      <c r="G107" s="1704">
        <v>0</v>
      </c>
      <c r="H107" s="307"/>
      <c r="I107" s="1704">
        <v>33.134</v>
      </c>
      <c r="J107" s="307"/>
      <c r="K107" s="1705">
        <f>ROUND(SUM(C107)+SUM(E107)-SUM(G107)+SUM(I107),3)</f>
        <v>138.66900000000001</v>
      </c>
      <c r="L107" s="1268"/>
      <c r="M107" s="1925"/>
    </row>
    <row r="108" spans="1:15">
      <c r="A108" s="308" t="s">
        <v>693</v>
      </c>
      <c r="B108" s="308"/>
      <c r="C108" s="1704">
        <v>199.875</v>
      </c>
      <c r="D108" s="307"/>
      <c r="E108" s="1704">
        <v>6502.049</v>
      </c>
      <c r="F108" s="307"/>
      <c r="G108" s="1704">
        <v>7.4660000000000002</v>
      </c>
      <c r="H108" s="307"/>
      <c r="I108" s="1704">
        <v>-6581.527</v>
      </c>
      <c r="J108" s="307"/>
      <c r="K108" s="1705">
        <f t="shared" si="6"/>
        <v>112.931</v>
      </c>
      <c r="L108" s="1268"/>
      <c r="M108" s="1925"/>
    </row>
    <row r="109" spans="1:15">
      <c r="A109" s="308" t="s">
        <v>694</v>
      </c>
      <c r="B109" s="308"/>
      <c r="C109" s="1704">
        <v>0</v>
      </c>
      <c r="D109" s="307"/>
      <c r="E109" s="1704">
        <v>0</v>
      </c>
      <c r="F109" s="307"/>
      <c r="G109" s="1704">
        <v>0</v>
      </c>
      <c r="H109" s="307"/>
      <c r="I109" s="1704">
        <v>0</v>
      </c>
      <c r="J109" s="307"/>
      <c r="K109" s="1705">
        <f t="shared" si="6"/>
        <v>0</v>
      </c>
      <c r="L109" s="1268"/>
      <c r="M109" s="1925"/>
    </row>
    <row r="110" spans="1:15">
      <c r="A110" s="308" t="s">
        <v>695</v>
      </c>
      <c r="B110" s="308"/>
      <c r="C110" s="1704">
        <v>1.3999999999999999E-2</v>
      </c>
      <c r="D110" s="307"/>
      <c r="E110" s="1704">
        <v>14.11</v>
      </c>
      <c r="F110" s="307"/>
      <c r="G110" s="1704">
        <v>0</v>
      </c>
      <c r="H110" s="307"/>
      <c r="I110" s="1704">
        <v>-14.11</v>
      </c>
      <c r="J110" s="307"/>
      <c r="K110" s="1705">
        <f t="shared" si="6"/>
        <v>1.4E-2</v>
      </c>
      <c r="L110" s="1268"/>
      <c r="M110" s="1925"/>
    </row>
    <row r="111" spans="1:15">
      <c r="A111" s="308" t="s">
        <v>696</v>
      </c>
      <c r="B111" s="308"/>
      <c r="C111" s="1704">
        <v>3.87</v>
      </c>
      <c r="D111" s="307"/>
      <c r="E111" s="1704">
        <v>98.070999999999998</v>
      </c>
      <c r="F111" s="307"/>
      <c r="G111" s="1704">
        <v>0</v>
      </c>
      <c r="H111" s="307"/>
      <c r="I111" s="1704">
        <v>-95.408000000000001</v>
      </c>
      <c r="J111" s="307"/>
      <c r="K111" s="1705">
        <f t="shared" si="6"/>
        <v>6.5330000000000004</v>
      </c>
      <c r="L111" s="1268"/>
      <c r="M111" s="1925" t="s">
        <v>103</v>
      </c>
      <c r="N111" s="311" t="s">
        <v>103</v>
      </c>
    </row>
    <row r="112" spans="1:15">
      <c r="A112" s="135" t="s">
        <v>697</v>
      </c>
      <c r="B112" s="828"/>
      <c r="C112" s="1710">
        <f>ROUND(SUM(C106:C111),3)</f>
        <v>270.52499999999998</v>
      </c>
      <c r="D112" s="136"/>
      <c r="E112" s="1710">
        <f>ROUND(SUM(E106:E111),3)</f>
        <v>6652.9989999999998</v>
      </c>
      <c r="F112" s="136"/>
      <c r="G112" s="1710">
        <f>ROUND(SUM(G106:G111),3)</f>
        <v>7.4660000000000002</v>
      </c>
      <c r="H112" s="136"/>
      <c r="I112" s="1710">
        <f>ROUND(SUM(I106:I111),3)</f>
        <v>-6657.9110000000001</v>
      </c>
      <c r="J112" s="136"/>
      <c r="K112" s="1710">
        <f>ROUND(SUM(K106:K111),3)</f>
        <v>258.14699999999999</v>
      </c>
      <c r="L112" s="1268"/>
      <c r="M112" s="1925" t="s">
        <v>103</v>
      </c>
      <c r="N112" s="311" t="s">
        <v>103</v>
      </c>
      <c r="O112" s="1925" t="s">
        <v>103</v>
      </c>
    </row>
    <row r="113" spans="1:14">
      <c r="A113" s="135"/>
      <c r="B113" s="828"/>
      <c r="C113" s="135"/>
      <c r="D113" s="136"/>
      <c r="E113" s="135"/>
      <c r="F113" s="136"/>
      <c r="G113" s="135"/>
      <c r="H113" s="136"/>
      <c r="I113" s="135"/>
      <c r="J113" s="136"/>
      <c r="K113" s="135"/>
      <c r="L113" s="1268"/>
      <c r="M113" s="825" t="s">
        <v>103</v>
      </c>
      <c r="N113" s="311" t="s">
        <v>103</v>
      </c>
    </row>
    <row r="114" spans="1:14">
      <c r="A114" s="308"/>
      <c r="B114" s="308"/>
      <c r="C114" s="308"/>
      <c r="D114" s="308"/>
      <c r="E114" s="308"/>
      <c r="F114" s="308"/>
      <c r="G114" s="308"/>
      <c r="H114" s="308"/>
      <c r="I114" s="308"/>
      <c r="J114" s="308"/>
      <c r="K114" s="308" t="s">
        <v>103</v>
      </c>
      <c r="L114" s="1268"/>
      <c r="M114" s="1925"/>
    </row>
    <row r="115" spans="1:14">
      <c r="A115" s="829" t="s">
        <v>698</v>
      </c>
      <c r="B115" s="308"/>
      <c r="K115" s="310"/>
      <c r="L115" s="1268"/>
      <c r="M115" s="1925"/>
    </row>
    <row r="116" spans="1:14">
      <c r="A116" s="308" t="s">
        <v>699</v>
      </c>
      <c r="B116" s="307"/>
      <c r="C116" s="1704">
        <v>0</v>
      </c>
      <c r="D116" s="307"/>
      <c r="E116" s="1704">
        <v>2242.0859999999998</v>
      </c>
      <c r="F116" s="307"/>
      <c r="G116" s="1704">
        <v>1077.261</v>
      </c>
      <c r="H116" s="307"/>
      <c r="I116" s="1704">
        <v>-1164.825</v>
      </c>
      <c r="J116" s="307"/>
      <c r="K116" s="1705">
        <f>ROUND(SUM(C116)+SUM(E116)-SUM(G116)+SUM(I116),3)</f>
        <v>0</v>
      </c>
      <c r="L116" s="1268"/>
      <c r="M116" s="1925"/>
    </row>
    <row r="117" spans="1:14">
      <c r="A117" s="308" t="s">
        <v>700</v>
      </c>
      <c r="B117" s="309"/>
      <c r="C117" s="1704">
        <v>-419.91800000000001</v>
      </c>
      <c r="D117" s="307"/>
      <c r="E117" s="1704">
        <v>209.04</v>
      </c>
      <c r="F117" s="307"/>
      <c r="G117" s="1704">
        <v>249.749</v>
      </c>
      <c r="H117" s="307"/>
      <c r="I117" s="1704">
        <v>16.498000000000001</v>
      </c>
      <c r="J117" s="1964"/>
      <c r="K117" s="1712">
        <f t="shared" ref="K117:K131" si="7">ROUND(SUM(C117)+SUM(E117)-SUM(G117)+SUM(I117),3)</f>
        <v>-444.12900000000002</v>
      </c>
      <c r="L117" s="1268"/>
      <c r="M117" s="1925"/>
    </row>
    <row r="118" spans="1:14">
      <c r="A118" s="308" t="s">
        <v>701</v>
      </c>
      <c r="B118" s="308"/>
      <c r="C118" s="1704">
        <v>148.33799999999999</v>
      </c>
      <c r="D118" s="307"/>
      <c r="E118" s="1704">
        <v>0.48399999999999999</v>
      </c>
      <c r="F118" s="307"/>
      <c r="G118" s="1704">
        <v>4.2069999999999999</v>
      </c>
      <c r="H118" s="307"/>
      <c r="I118" s="1704">
        <v>17.433</v>
      </c>
      <c r="J118" s="307"/>
      <c r="K118" s="1705">
        <f t="shared" si="7"/>
        <v>162.048</v>
      </c>
      <c r="L118" s="1268"/>
      <c r="M118" s="1925"/>
    </row>
    <row r="119" spans="1:14">
      <c r="A119" s="308" t="s">
        <v>702</v>
      </c>
      <c r="B119" s="308"/>
      <c r="C119" s="1704">
        <v>17.564</v>
      </c>
      <c r="D119" s="307"/>
      <c r="E119" s="1704">
        <v>5.6000000000000001E-2</v>
      </c>
      <c r="F119" s="307"/>
      <c r="G119" s="1704">
        <v>0</v>
      </c>
      <c r="H119" s="307"/>
      <c r="I119" s="1704">
        <v>0</v>
      </c>
      <c r="J119" s="307"/>
      <c r="K119" s="1705">
        <f t="shared" si="7"/>
        <v>17.62</v>
      </c>
      <c r="L119" s="1268"/>
      <c r="M119" s="1925"/>
    </row>
    <row r="120" spans="1:14">
      <c r="A120" s="308" t="s">
        <v>703</v>
      </c>
      <c r="B120" s="308"/>
      <c r="C120" s="1704">
        <v>-186.46600000000001</v>
      </c>
      <c r="D120" s="307"/>
      <c r="E120" s="1704">
        <v>0</v>
      </c>
      <c r="F120" s="307"/>
      <c r="G120" s="1704">
        <v>39.950000000000003</v>
      </c>
      <c r="H120" s="307"/>
      <c r="I120" s="1704">
        <v>0</v>
      </c>
      <c r="J120" s="307"/>
      <c r="K120" s="1705">
        <f t="shared" si="7"/>
        <v>-226.416</v>
      </c>
      <c r="L120" s="1268"/>
      <c r="M120" s="1925"/>
    </row>
    <row r="121" spans="1:14">
      <c r="A121" s="308" t="s">
        <v>704</v>
      </c>
      <c r="B121" s="308"/>
      <c r="C121" s="1704">
        <v>1.7999999999999999E-2</v>
      </c>
      <c r="D121" s="307"/>
      <c r="E121" s="1704">
        <v>0</v>
      </c>
      <c r="F121" s="307"/>
      <c r="G121" s="1704">
        <v>0</v>
      </c>
      <c r="H121" s="307"/>
      <c r="I121" s="1704">
        <v>0</v>
      </c>
      <c r="J121" s="307"/>
      <c r="K121" s="1705">
        <f t="shared" si="7"/>
        <v>1.7999999999999999E-2</v>
      </c>
      <c r="L121" s="1268"/>
      <c r="M121" s="1925"/>
    </row>
    <row r="122" spans="1:14">
      <c r="A122" s="308" t="s">
        <v>705</v>
      </c>
      <c r="B122" s="308"/>
      <c r="C122" s="1704">
        <v>608.71199999999999</v>
      </c>
      <c r="D122" s="307"/>
      <c r="E122" s="1704">
        <v>53.018000000000001</v>
      </c>
      <c r="F122" s="307"/>
      <c r="G122" s="1704">
        <v>24.149000000000001</v>
      </c>
      <c r="H122" s="307"/>
      <c r="I122" s="1704">
        <v>0</v>
      </c>
      <c r="J122" s="307"/>
      <c r="K122" s="1705">
        <f t="shared" si="7"/>
        <v>637.58100000000002</v>
      </c>
      <c r="L122" s="1268"/>
      <c r="M122" s="1925"/>
    </row>
    <row r="123" spans="1:14">
      <c r="A123" s="308" t="s">
        <v>706</v>
      </c>
      <c r="B123" s="308"/>
      <c r="C123" s="1704">
        <v>0</v>
      </c>
      <c r="D123" s="307"/>
      <c r="E123" s="1704">
        <v>0</v>
      </c>
      <c r="F123" s="307"/>
      <c r="G123" s="1704">
        <v>0</v>
      </c>
      <c r="H123" s="307"/>
      <c r="I123" s="1704">
        <v>0</v>
      </c>
      <c r="J123" s="307"/>
      <c r="K123" s="1705">
        <f t="shared" si="7"/>
        <v>0</v>
      </c>
      <c r="L123" s="1268"/>
      <c r="M123" s="1925"/>
    </row>
    <row r="124" spans="1:14">
      <c r="A124" s="308" t="s">
        <v>707</v>
      </c>
      <c r="B124" s="308"/>
      <c r="C124" s="1704">
        <v>0</v>
      </c>
      <c r="D124" s="307"/>
      <c r="E124" s="1704">
        <v>0</v>
      </c>
      <c r="F124" s="307"/>
      <c r="G124" s="1704">
        <v>0</v>
      </c>
      <c r="H124" s="307"/>
      <c r="I124" s="1704">
        <v>0</v>
      </c>
      <c r="J124" s="307"/>
      <c r="K124" s="1705">
        <f t="shared" si="7"/>
        <v>0</v>
      </c>
      <c r="L124" s="1268"/>
      <c r="M124" s="1925"/>
    </row>
    <row r="125" spans="1:14">
      <c r="A125" s="308" t="s">
        <v>708</v>
      </c>
      <c r="B125" s="308"/>
      <c r="C125" s="1704">
        <v>0</v>
      </c>
      <c r="D125" s="307"/>
      <c r="E125" s="1704">
        <v>0</v>
      </c>
      <c r="F125" s="307"/>
      <c r="G125" s="1704">
        <v>0</v>
      </c>
      <c r="H125" s="307"/>
      <c r="I125" s="1704">
        <v>0</v>
      </c>
      <c r="J125" s="307"/>
      <c r="K125" s="1705">
        <f t="shared" si="7"/>
        <v>0</v>
      </c>
      <c r="L125" s="1268"/>
      <c r="M125" s="1925"/>
    </row>
    <row r="126" spans="1:14">
      <c r="A126" s="308" t="s">
        <v>709</v>
      </c>
      <c r="B126" s="308"/>
      <c r="C126" s="1704">
        <v>0</v>
      </c>
      <c r="D126" s="307"/>
      <c r="E126" s="1704">
        <v>0</v>
      </c>
      <c r="F126" s="307"/>
      <c r="G126" s="1704">
        <v>0</v>
      </c>
      <c r="H126" s="307"/>
      <c r="I126" s="1704">
        <v>0</v>
      </c>
      <c r="J126" s="307"/>
      <c r="K126" s="1705">
        <f t="shared" si="7"/>
        <v>0</v>
      </c>
      <c r="L126" s="1268"/>
      <c r="M126" s="1925"/>
    </row>
    <row r="127" spans="1:14">
      <c r="A127" s="308" t="s">
        <v>710</v>
      </c>
      <c r="B127" s="308"/>
      <c r="C127" s="1704">
        <v>0</v>
      </c>
      <c r="D127" s="307"/>
      <c r="E127" s="1704">
        <v>0</v>
      </c>
      <c r="F127" s="307"/>
      <c r="G127" s="1704">
        <v>0</v>
      </c>
      <c r="H127" s="307"/>
      <c r="I127" s="1704">
        <v>0</v>
      </c>
      <c r="J127" s="307"/>
      <c r="K127" s="1705">
        <f t="shared" si="7"/>
        <v>0</v>
      </c>
      <c r="L127" s="1268"/>
      <c r="M127" s="1925"/>
    </row>
    <row r="128" spans="1:14">
      <c r="A128" s="308" t="s">
        <v>711</v>
      </c>
      <c r="B128" s="308"/>
      <c r="C128" s="1704">
        <v>0</v>
      </c>
      <c r="D128" s="307"/>
      <c r="E128" s="1704">
        <v>0</v>
      </c>
      <c r="F128" s="307"/>
      <c r="G128" s="1704">
        <v>0</v>
      </c>
      <c r="H128" s="307"/>
      <c r="I128" s="1704">
        <v>0</v>
      </c>
      <c r="J128" s="307"/>
      <c r="K128" s="1705">
        <f t="shared" si="7"/>
        <v>0</v>
      </c>
      <c r="L128" s="1268"/>
      <c r="M128" s="1925"/>
    </row>
    <row r="129" spans="1:13">
      <c r="A129" s="308" t="s">
        <v>712</v>
      </c>
      <c r="B129" s="308"/>
      <c r="C129" s="1704">
        <v>0</v>
      </c>
      <c r="D129" s="307"/>
      <c r="E129" s="1704">
        <v>0</v>
      </c>
      <c r="F129" s="307"/>
      <c r="G129" s="1704">
        <v>0</v>
      </c>
      <c r="H129" s="307"/>
      <c r="I129" s="1704">
        <v>0</v>
      </c>
      <c r="J129" s="307"/>
      <c r="K129" s="1705">
        <f t="shared" si="7"/>
        <v>0</v>
      </c>
      <c r="L129" s="1268"/>
      <c r="M129" s="1925"/>
    </row>
    <row r="130" spans="1:13">
      <c r="A130" s="308" t="s">
        <v>713</v>
      </c>
      <c r="B130" s="308"/>
      <c r="C130" s="1704">
        <v>0</v>
      </c>
      <c r="D130" s="307"/>
      <c r="E130" s="1704">
        <v>0</v>
      </c>
      <c r="F130" s="307"/>
      <c r="G130" s="1704">
        <v>0</v>
      </c>
      <c r="H130" s="307"/>
      <c r="I130" s="1704">
        <v>0</v>
      </c>
      <c r="J130" s="307"/>
      <c r="K130" s="1705">
        <f t="shared" si="7"/>
        <v>0</v>
      </c>
      <c r="L130" s="1268"/>
      <c r="M130" s="1925"/>
    </row>
    <row r="131" spans="1:13">
      <c r="A131" s="308" t="s">
        <v>714</v>
      </c>
      <c r="B131" s="308"/>
      <c r="C131" s="1704">
        <v>0</v>
      </c>
      <c r="D131" s="307"/>
      <c r="E131" s="1704">
        <v>0</v>
      </c>
      <c r="F131" s="307"/>
      <c r="G131" s="1704">
        <v>0</v>
      </c>
      <c r="H131" s="307"/>
      <c r="I131" s="1704">
        <v>0</v>
      </c>
      <c r="J131" s="307"/>
      <c r="K131" s="1705">
        <f t="shared" si="7"/>
        <v>0</v>
      </c>
      <c r="L131" s="1268"/>
      <c r="M131" s="1925"/>
    </row>
    <row r="132" spans="1:13">
      <c r="A132" s="308" t="s">
        <v>715</v>
      </c>
      <c r="B132" s="308"/>
      <c r="C132" s="1929"/>
      <c r="D132"/>
      <c r="E132" s="1705"/>
      <c r="F132" s="307"/>
      <c r="G132" s="1705"/>
      <c r="H132" s="307"/>
      <c r="I132" s="1705"/>
      <c r="J132" s="308"/>
      <c r="K132" s="1709"/>
      <c r="L132" s="1268"/>
      <c r="M132" s="1925"/>
    </row>
    <row r="133" spans="1:13">
      <c r="A133" s="308" t="s">
        <v>716</v>
      </c>
      <c r="B133" s="308"/>
      <c r="C133" s="1704">
        <v>0</v>
      </c>
      <c r="D133" s="307"/>
      <c r="E133" s="1704">
        <v>0</v>
      </c>
      <c r="F133" s="307"/>
      <c r="G133" s="1704">
        <v>0</v>
      </c>
      <c r="H133" s="307"/>
      <c r="I133" s="1704">
        <v>0</v>
      </c>
      <c r="J133" s="307"/>
      <c r="K133" s="1705">
        <f t="shared" ref="K133:K154" si="8">ROUND(SUM(C133)+SUM(E133)-SUM(G133)+SUM(I133),3)</f>
        <v>0</v>
      </c>
      <c r="L133" s="1268"/>
      <c r="M133" s="1925"/>
    </row>
    <row r="134" spans="1:13">
      <c r="A134" s="308" t="s">
        <v>717</v>
      </c>
      <c r="B134" s="308"/>
      <c r="C134" s="1704">
        <v>0</v>
      </c>
      <c r="D134" s="307"/>
      <c r="E134" s="1704">
        <v>0</v>
      </c>
      <c r="F134" s="307"/>
      <c r="G134" s="1704">
        <v>0</v>
      </c>
      <c r="H134" s="307"/>
      <c r="I134" s="1704">
        <v>0</v>
      </c>
      <c r="J134" s="307"/>
      <c r="K134" s="1705">
        <f t="shared" si="8"/>
        <v>0</v>
      </c>
      <c r="L134" s="1268"/>
      <c r="M134" s="1925"/>
    </row>
    <row r="135" spans="1:13">
      <c r="A135" s="308" t="s">
        <v>718</v>
      </c>
      <c r="B135" s="308"/>
      <c r="C135" s="1704">
        <v>0</v>
      </c>
      <c r="D135" s="307"/>
      <c r="E135" s="1704">
        <v>0</v>
      </c>
      <c r="F135" s="307"/>
      <c r="G135" s="1704">
        <v>0</v>
      </c>
      <c r="H135" s="307"/>
      <c r="I135" s="1704">
        <v>0</v>
      </c>
      <c r="J135" s="307"/>
      <c r="K135" s="1705">
        <f t="shared" si="8"/>
        <v>0</v>
      </c>
      <c r="L135" s="1268"/>
      <c r="M135" s="1925"/>
    </row>
    <row r="136" spans="1:13">
      <c r="A136" s="308" t="s">
        <v>719</v>
      </c>
      <c r="B136" s="308"/>
      <c r="C136" s="1704">
        <v>0</v>
      </c>
      <c r="D136" s="307"/>
      <c r="E136" s="1704">
        <v>0</v>
      </c>
      <c r="F136" s="307"/>
      <c r="G136" s="1704">
        <v>0</v>
      </c>
      <c r="H136" s="307"/>
      <c r="I136" s="1704">
        <v>0</v>
      </c>
      <c r="J136" s="307"/>
      <c r="K136" s="1705">
        <f t="shared" si="8"/>
        <v>0</v>
      </c>
      <c r="L136" s="1268"/>
      <c r="M136" s="1925"/>
    </row>
    <row r="137" spans="1:13">
      <c r="A137" s="308" t="s">
        <v>720</v>
      </c>
      <c r="B137" s="308"/>
      <c r="C137" s="1704">
        <v>0</v>
      </c>
      <c r="D137" s="307"/>
      <c r="E137" s="1704">
        <v>0</v>
      </c>
      <c r="F137" s="307"/>
      <c r="G137" s="1704">
        <v>0</v>
      </c>
      <c r="H137" s="307"/>
      <c r="I137" s="1704">
        <v>0</v>
      </c>
      <c r="J137" s="307"/>
      <c r="K137" s="1705">
        <f>ROUND(SUM(C137)+SUM(E137)-SUM(G137)+SUM(I137),3)</f>
        <v>0</v>
      </c>
      <c r="L137" s="1268"/>
      <c r="M137" s="1925"/>
    </row>
    <row r="138" spans="1:13">
      <c r="A138" s="308" t="s">
        <v>721</v>
      </c>
      <c r="B138" s="308"/>
      <c r="C138" s="1704">
        <v>0</v>
      </c>
      <c r="D138" s="307"/>
      <c r="E138" s="1704">
        <v>0</v>
      </c>
      <c r="F138" s="307"/>
      <c r="G138" s="1704">
        <v>0</v>
      </c>
      <c r="H138" s="307"/>
      <c r="I138" s="1704">
        <v>0</v>
      </c>
      <c r="J138" s="307"/>
      <c r="K138" s="1705">
        <f t="shared" si="8"/>
        <v>0</v>
      </c>
      <c r="L138" s="1268"/>
      <c r="M138" s="1925"/>
    </row>
    <row r="139" spans="1:13">
      <c r="A139" s="308" t="s">
        <v>722</v>
      </c>
      <c r="B139" s="308"/>
      <c r="C139" s="1704">
        <v>0</v>
      </c>
      <c r="D139" s="307"/>
      <c r="E139" s="1704">
        <v>0</v>
      </c>
      <c r="F139" s="307"/>
      <c r="G139" s="1704">
        <v>0</v>
      </c>
      <c r="H139" s="307"/>
      <c r="I139" s="1704">
        <v>0</v>
      </c>
      <c r="J139" s="307"/>
      <c r="K139" s="1705">
        <f t="shared" si="8"/>
        <v>0</v>
      </c>
      <c r="L139" s="1268"/>
      <c r="M139" s="1925"/>
    </row>
    <row r="140" spans="1:13">
      <c r="A140" s="308" t="s">
        <v>723</v>
      </c>
      <c r="B140" s="308"/>
      <c r="C140" s="1704">
        <v>-266.73899999999998</v>
      </c>
      <c r="D140" s="307"/>
      <c r="E140" s="1704">
        <v>155.57</v>
      </c>
      <c r="F140" s="307"/>
      <c r="G140" s="1704">
        <v>292.55399999999997</v>
      </c>
      <c r="H140" s="307"/>
      <c r="I140" s="1704">
        <v>0</v>
      </c>
      <c r="J140" s="307"/>
      <c r="K140" s="1712">
        <f t="shared" si="8"/>
        <v>-403.72300000000001</v>
      </c>
      <c r="L140" s="1268"/>
      <c r="M140" s="1925"/>
    </row>
    <row r="141" spans="1:13">
      <c r="A141" s="308" t="s">
        <v>724</v>
      </c>
      <c r="B141" s="308"/>
      <c r="C141" s="1704">
        <v>1.288</v>
      </c>
      <c r="D141" s="307"/>
      <c r="E141" s="1704">
        <v>4.0000000000000001E-3</v>
      </c>
      <c r="F141" s="307"/>
      <c r="G141" s="1704">
        <v>0</v>
      </c>
      <c r="H141" s="307"/>
      <c r="I141" s="1704">
        <v>0</v>
      </c>
      <c r="J141" s="307"/>
      <c r="K141" s="1705">
        <f t="shared" si="8"/>
        <v>1.292</v>
      </c>
      <c r="L141" s="1268"/>
      <c r="M141" s="1925"/>
    </row>
    <row r="142" spans="1:13">
      <c r="A142" s="309" t="s">
        <v>725</v>
      </c>
      <c r="B142" s="308"/>
      <c r="C142" s="1704">
        <v>-32.564</v>
      </c>
      <c r="D142" s="307"/>
      <c r="E142" s="1704">
        <v>0.94699999999999995</v>
      </c>
      <c r="F142" s="307"/>
      <c r="G142" s="1704">
        <v>13.198</v>
      </c>
      <c r="H142" s="307"/>
      <c r="I142" s="1704">
        <v>-0.214</v>
      </c>
      <c r="J142" s="307"/>
      <c r="K142" s="1705">
        <f t="shared" si="8"/>
        <v>-45.029000000000003</v>
      </c>
      <c r="L142" s="1268"/>
      <c r="M142" s="1925"/>
    </row>
    <row r="143" spans="1:13">
      <c r="A143" s="308" t="s">
        <v>726</v>
      </c>
      <c r="B143" s="308"/>
      <c r="C143" s="1704">
        <v>0.64200000000000002</v>
      </c>
      <c r="D143" s="307"/>
      <c r="E143" s="1704">
        <v>2E-3</v>
      </c>
      <c r="F143" s="307"/>
      <c r="G143" s="1704">
        <v>0</v>
      </c>
      <c r="H143" s="307"/>
      <c r="I143" s="1704">
        <v>0</v>
      </c>
      <c r="J143" s="307"/>
      <c r="K143" s="1705">
        <f t="shared" si="8"/>
        <v>0.64400000000000002</v>
      </c>
      <c r="L143" s="1268"/>
      <c r="M143" s="1925"/>
    </row>
    <row r="144" spans="1:13">
      <c r="A144" s="308" t="s">
        <v>727</v>
      </c>
      <c r="B144" s="308"/>
      <c r="C144" s="1704">
        <v>-36.485999999999997</v>
      </c>
      <c r="D144" s="307"/>
      <c r="E144" s="1704">
        <v>0</v>
      </c>
      <c r="F144" s="307"/>
      <c r="G144" s="1704">
        <v>2.395</v>
      </c>
      <c r="H144" s="307"/>
      <c r="I144" s="1704">
        <v>0</v>
      </c>
      <c r="J144" s="307"/>
      <c r="K144" s="1705">
        <f t="shared" si="8"/>
        <v>-38.881</v>
      </c>
      <c r="L144" s="1268"/>
      <c r="M144" s="1925"/>
    </row>
    <row r="145" spans="1:13">
      <c r="A145" s="308" t="s">
        <v>728</v>
      </c>
      <c r="B145" s="308"/>
      <c r="C145" s="1704">
        <v>-12.942</v>
      </c>
      <c r="D145" s="307"/>
      <c r="E145" s="1704">
        <v>0</v>
      </c>
      <c r="F145" s="307"/>
      <c r="G145" s="1704">
        <v>0</v>
      </c>
      <c r="H145" s="307"/>
      <c r="I145" s="1704">
        <v>0</v>
      </c>
      <c r="J145" s="307"/>
      <c r="K145" s="1705">
        <f t="shared" si="8"/>
        <v>-12.942</v>
      </c>
      <c r="L145" s="1268"/>
      <c r="M145" s="1925"/>
    </row>
    <row r="146" spans="1:13">
      <c r="A146" s="308" t="s">
        <v>729</v>
      </c>
      <c r="B146" s="308"/>
      <c r="C146" s="1704">
        <v>-1938.7070000000001</v>
      </c>
      <c r="D146" s="307"/>
      <c r="E146" s="1704">
        <v>0</v>
      </c>
      <c r="F146" s="307"/>
      <c r="G146" s="1704">
        <v>123.05800000000001</v>
      </c>
      <c r="H146" s="307"/>
      <c r="I146" s="1704">
        <v>0</v>
      </c>
      <c r="J146" s="307"/>
      <c r="K146" s="1705">
        <f t="shared" si="8"/>
        <v>-2061.7649999999999</v>
      </c>
      <c r="L146" s="1268"/>
      <c r="M146" s="1925"/>
    </row>
    <row r="147" spans="1:13">
      <c r="A147" s="308" t="s">
        <v>1517</v>
      </c>
      <c r="B147" s="308"/>
      <c r="C147" s="1704">
        <v>51.290999999999997</v>
      </c>
      <c r="D147" s="307"/>
      <c r="E147" s="1704">
        <v>0.16300000000000001</v>
      </c>
      <c r="F147" s="307"/>
      <c r="G147" s="1704">
        <v>5.2999999999999999E-2</v>
      </c>
      <c r="H147" s="307"/>
      <c r="I147" s="1704">
        <v>0</v>
      </c>
      <c r="J147" s="307"/>
      <c r="K147" s="1705">
        <f t="shared" si="8"/>
        <v>51.401000000000003</v>
      </c>
      <c r="L147" s="1268"/>
      <c r="M147" s="1925"/>
    </row>
    <row r="148" spans="1:13">
      <c r="A148" s="308" t="s">
        <v>730</v>
      </c>
      <c r="B148" s="308"/>
      <c r="C148" s="1704">
        <v>-12.016</v>
      </c>
      <c r="D148" s="307"/>
      <c r="E148" s="1704">
        <v>0</v>
      </c>
      <c r="F148" s="307"/>
      <c r="G148" s="1704">
        <v>0</v>
      </c>
      <c r="H148" s="307"/>
      <c r="I148" s="1704">
        <v>0</v>
      </c>
      <c r="J148" s="307"/>
      <c r="K148" s="1705">
        <f t="shared" si="8"/>
        <v>-12.016</v>
      </c>
      <c r="L148" s="1268"/>
      <c r="M148" s="1925"/>
    </row>
    <row r="149" spans="1:13">
      <c r="A149" s="308" t="s">
        <v>731</v>
      </c>
      <c r="B149" s="308"/>
      <c r="C149" s="1704">
        <v>-132.10499999999999</v>
      </c>
      <c r="D149" s="307"/>
      <c r="E149" s="1704">
        <v>1.012</v>
      </c>
      <c r="F149" s="307"/>
      <c r="G149" s="1704">
        <v>5.633</v>
      </c>
      <c r="H149" s="307"/>
      <c r="I149" s="1704">
        <v>1.68</v>
      </c>
      <c r="J149" s="307"/>
      <c r="K149" s="1705">
        <f t="shared" si="8"/>
        <v>-135.04599999999999</v>
      </c>
      <c r="L149" s="1268"/>
      <c r="M149" s="1925"/>
    </row>
    <row r="150" spans="1:13">
      <c r="A150" s="308" t="s">
        <v>732</v>
      </c>
      <c r="B150" s="308"/>
      <c r="C150" s="1704">
        <v>0.13500000000000001</v>
      </c>
      <c r="D150" s="307"/>
      <c r="E150" s="1704">
        <v>5.0000000000000001E-3</v>
      </c>
      <c r="F150" s="307"/>
      <c r="G150" s="1704">
        <v>0</v>
      </c>
      <c r="H150" s="307"/>
      <c r="I150" s="1704">
        <v>0</v>
      </c>
      <c r="J150" s="307"/>
      <c r="K150" s="1705">
        <f t="shared" si="8"/>
        <v>0.14000000000000001</v>
      </c>
      <c r="L150" s="1268"/>
      <c r="M150" s="1925"/>
    </row>
    <row r="151" spans="1:13">
      <c r="A151" s="308" t="s">
        <v>733</v>
      </c>
      <c r="B151" s="308"/>
      <c r="C151" s="1704">
        <v>-783.75199999999995</v>
      </c>
      <c r="D151" s="307"/>
      <c r="E151" s="1704">
        <v>40.144999999999996</v>
      </c>
      <c r="F151" s="307"/>
      <c r="G151" s="1704">
        <v>47.195999999999998</v>
      </c>
      <c r="H151" s="307"/>
      <c r="I151" s="1704">
        <v>0</v>
      </c>
      <c r="J151" s="307"/>
      <c r="K151" s="1705">
        <f t="shared" si="8"/>
        <v>-790.803</v>
      </c>
      <c r="L151" s="1268"/>
      <c r="M151" s="1925"/>
    </row>
    <row r="152" spans="1:13">
      <c r="A152" s="308" t="s">
        <v>734</v>
      </c>
      <c r="B152" s="308"/>
      <c r="C152" s="1704">
        <v>-128.56299999999999</v>
      </c>
      <c r="D152" s="307"/>
      <c r="E152" s="1704">
        <v>0</v>
      </c>
      <c r="F152" s="307"/>
      <c r="G152" s="1704">
        <v>39.840000000000003</v>
      </c>
      <c r="H152" s="307"/>
      <c r="I152" s="1704">
        <v>0</v>
      </c>
      <c r="J152" s="307"/>
      <c r="K152" s="1705">
        <f t="shared" si="8"/>
        <v>-168.40299999999999</v>
      </c>
      <c r="L152" s="1268"/>
      <c r="M152" s="1925"/>
    </row>
    <row r="153" spans="1:13">
      <c r="A153" s="308" t="s">
        <v>735</v>
      </c>
      <c r="B153" s="308"/>
      <c r="C153" s="1704">
        <v>230.96199999999999</v>
      </c>
      <c r="D153" s="307"/>
      <c r="E153" s="1704">
        <v>0.70699999999999996</v>
      </c>
      <c r="F153" s="307"/>
      <c r="G153" s="1704">
        <v>7.0389999999999997</v>
      </c>
      <c r="H153" s="307"/>
      <c r="I153" s="1704">
        <v>0.09</v>
      </c>
      <c r="J153" s="307"/>
      <c r="K153" s="1705">
        <f t="shared" si="8"/>
        <v>224.72</v>
      </c>
      <c r="L153" s="1268"/>
      <c r="M153" s="1925"/>
    </row>
    <row r="154" spans="1:13">
      <c r="A154" s="308" t="s">
        <v>736</v>
      </c>
      <c r="B154" s="308"/>
      <c r="C154" s="1704">
        <v>99.631</v>
      </c>
      <c r="D154" s="307"/>
      <c r="E154" s="1704">
        <v>0</v>
      </c>
      <c r="F154" s="307"/>
      <c r="G154" s="1704">
        <v>14.699</v>
      </c>
      <c r="H154" s="307"/>
      <c r="I154" s="1704">
        <v>0</v>
      </c>
      <c r="J154" s="307"/>
      <c r="K154" s="1705">
        <f t="shared" si="8"/>
        <v>84.932000000000002</v>
      </c>
      <c r="L154" s="1268"/>
      <c r="M154" s="1925"/>
    </row>
    <row r="155" spans="1:13">
      <c r="A155" s="135" t="s">
        <v>737</v>
      </c>
      <c r="B155" s="308"/>
      <c r="C155" s="1710">
        <f>ROUND(SUM(C116:C154),3)</f>
        <v>-2791.6770000000001</v>
      </c>
      <c r="D155" s="135"/>
      <c r="E155" s="1710">
        <f>ROUND(SUM(E116:E154),3)</f>
        <v>2703.239</v>
      </c>
      <c r="F155" s="135"/>
      <c r="G155" s="1710">
        <f>ROUND(SUM(G116:G154),3)</f>
        <v>1940.981</v>
      </c>
      <c r="H155" s="135"/>
      <c r="I155" s="1710">
        <f>ROUND(SUM(I116:I154),3)</f>
        <v>-1129.338</v>
      </c>
      <c r="J155" s="135"/>
      <c r="K155" s="1710">
        <f>ROUND(SUM(K116:K154),3)</f>
        <v>-3158.7570000000001</v>
      </c>
      <c r="L155" s="1268"/>
      <c r="M155" s="825"/>
    </row>
    <row r="156" spans="1:13">
      <c r="A156" s="135"/>
      <c r="B156" s="308"/>
      <c r="C156" s="308"/>
      <c r="D156" s="308"/>
      <c r="E156" s="1139"/>
      <c r="F156" s="1139"/>
      <c r="G156" s="1139"/>
      <c r="H156" s="1139"/>
      <c r="I156" s="1139"/>
      <c r="J156" s="308"/>
      <c r="K156" s="308"/>
      <c r="L156" s="1268"/>
      <c r="M156" s="1925"/>
    </row>
    <row r="157" spans="1:13" ht="16.5" thickBot="1">
      <c r="A157" s="135" t="s">
        <v>738</v>
      </c>
      <c r="B157" s="136"/>
      <c r="C157" s="1713">
        <f>ROUND(SUM(C23+C103+C112+C155),3)</f>
        <v>75589.713000000003</v>
      </c>
      <c r="D157" s="136"/>
      <c r="E157" s="1713">
        <f>ROUND(SUM(E23+E103+E112+E155),3)</f>
        <v>35147.411</v>
      </c>
      <c r="F157" s="1714"/>
      <c r="G157" s="1713">
        <f>ROUND(SUM(G23+G103+G112+G155),3)</f>
        <v>21900.715</v>
      </c>
      <c r="H157" s="1714"/>
      <c r="I157" s="1713">
        <f>ROUND(SUM(I23+I103+I112+I155),3)</f>
        <v>-36.795000000000002</v>
      </c>
      <c r="J157" s="136"/>
      <c r="K157" s="1713">
        <f>ROUND(SUM(K23+K103+K112+K155),3)</f>
        <v>88799.614000000001</v>
      </c>
      <c r="L157" s="1988"/>
      <c r="M157" s="1925" t="s">
        <v>103</v>
      </c>
    </row>
    <row r="158" spans="1:13" ht="16.5" thickTop="1">
      <c r="A158" s="308"/>
      <c r="B158" s="308"/>
      <c r="C158" s="308" t="s">
        <v>103</v>
      </c>
      <c r="D158" s="308"/>
      <c r="E158" s="308"/>
      <c r="F158" s="308"/>
      <c r="G158" s="308"/>
      <c r="H158" s="308"/>
      <c r="I158" s="308"/>
      <c r="J158" s="308"/>
      <c r="K158" s="308" t="s">
        <v>103</v>
      </c>
    </row>
    <row r="159" spans="1:13">
      <c r="A159" s="308"/>
      <c r="B159" s="308"/>
      <c r="C159" s="308" t="s">
        <v>103</v>
      </c>
      <c r="D159" s="308"/>
      <c r="E159" s="308" t="s">
        <v>103</v>
      </c>
      <c r="F159" s="308">
        <f t="shared" ref="F159:H159" si="9">F23+F91+F112</f>
        <v>0</v>
      </c>
      <c r="G159" s="308" t="s">
        <v>103</v>
      </c>
      <c r="H159" s="308">
        <f t="shared" si="9"/>
        <v>0</v>
      </c>
      <c r="I159" s="308" t="s">
        <v>103</v>
      </c>
      <c r="J159" s="308">
        <f>J23+J91+J112</f>
        <v>0</v>
      </c>
      <c r="K159" s="308" t="s">
        <v>103</v>
      </c>
    </row>
    <row r="160" spans="1:13">
      <c r="A160" s="134"/>
      <c r="B160" s="308"/>
      <c r="C160" s="308"/>
      <c r="D160" s="308"/>
      <c r="E160" s="1140" t="s">
        <v>103</v>
      </c>
      <c r="F160" s="308"/>
      <c r="G160" s="308" t="s">
        <v>103</v>
      </c>
      <c r="H160" s="308"/>
      <c r="I160" s="1139"/>
      <c r="J160" s="308"/>
      <c r="K160" s="878"/>
    </row>
    <row r="161" spans="1:11">
      <c r="A161" s="308" t="s">
        <v>103</v>
      </c>
      <c r="B161" s="308"/>
      <c r="C161" s="308"/>
      <c r="D161" s="308"/>
      <c r="E161" s="308"/>
      <c r="F161" s="308"/>
      <c r="G161" s="310" t="s">
        <v>103</v>
      </c>
      <c r="H161" s="308"/>
      <c r="I161" s="308"/>
      <c r="J161" s="308"/>
      <c r="K161" s="308" t="s">
        <v>103</v>
      </c>
    </row>
    <row r="162" spans="1:11">
      <c r="A162" s="308"/>
      <c r="B162" s="308"/>
      <c r="C162" s="308"/>
      <c r="D162" s="308"/>
      <c r="E162" s="308"/>
      <c r="F162" s="308"/>
      <c r="G162" s="308"/>
      <c r="H162" s="308"/>
      <c r="I162" s="308"/>
      <c r="J162" s="308"/>
      <c r="K162" s="308" t="s">
        <v>103</v>
      </c>
    </row>
    <row r="163" spans="1:11">
      <c r="A163" s="312"/>
      <c r="B163" s="308"/>
      <c r="C163" s="308"/>
      <c r="D163" s="308"/>
      <c r="E163" s="308"/>
      <c r="F163" s="308"/>
      <c r="G163" s="308"/>
      <c r="H163" s="308"/>
      <c r="I163" s="313"/>
      <c r="J163" s="308"/>
      <c r="K163" s="308" t="s">
        <v>103</v>
      </c>
    </row>
    <row r="164" spans="1:11">
      <c r="I164" s="1141"/>
      <c r="K164" s="825" t="s">
        <v>103</v>
      </c>
    </row>
    <row r="165" spans="1:11">
      <c r="I165" s="1141"/>
    </row>
    <row r="169" spans="1:11">
      <c r="I169" s="137"/>
    </row>
  </sheetData>
  <customSheetViews>
    <customSheetView guid="{83D69B98-1714-4D17-901F-87B47BE66947}" scale="85" showGridLines="0" printArea="1" topLeftCell="A85">
      <selection activeCell="G19" sqref="G19"/>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1"/>
      <headerFooter scaleWithDoc="0" alignWithMargins="0">
        <oddFooter>&amp;C&amp;8&amp;P</oddFooter>
        <firstFooter>&amp;C28</firstFooter>
      </headerFooter>
    </customSheetView>
    <customSheetView guid="{F9AE1502-86F7-4AAA-AE66-F6A75A634C1B}" scale="85" showGridLines="0" printArea="1" topLeftCell="A120">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2"/>
      <headerFooter scaleWithDoc="0" alignWithMargins="0">
        <oddFooter>&amp;C&amp;8&amp;P</oddFooter>
        <firstFooter>&amp;C28</firstFooter>
      </headerFooter>
    </customSheetView>
    <customSheetView guid="{C41E3923-0A88-49D0-AE43-0E74D386A056}" scale="85" showGridLines="0" printArea="1" topLeftCell="A132">
      <selection activeCell="K154" sqref="K154"/>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3"/>
      <headerFooter scaleWithDoc="0" alignWithMargins="0">
        <oddFooter>&amp;C&amp;8&amp;P</oddFooter>
        <firstFooter>&amp;C28</firstFooter>
      </headerFooter>
    </customSheetView>
    <customSheetView guid="{1DF171D7-3BFC-49F6-B708-0F91FCFAB6E2}" scale="85" showGridLines="0" printArea="1" topLeftCell="A78">
      <selection activeCell="P91" sqref="P91"/>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4"/>
      <headerFooter scaleWithDoc="0" alignWithMargins="0">
        <oddFooter>&amp;C&amp;8&amp;P</oddFooter>
        <firstFooter>&amp;C28</firstFooter>
      </headerFooter>
    </customSheetView>
    <customSheetView guid="{9F00D83C-7F4F-41B5-9976-8610D9EBC976}" scale="85" showGridLines="0" printArea="1" topLeftCell="A120">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5"/>
      <headerFooter scaleWithDoc="0" alignWithMargins="0">
        <oddFooter>&amp;C&amp;8&amp;P</oddFooter>
        <firstFooter>&amp;C28</firstFooter>
      </headerFooter>
    </customSheetView>
    <customSheetView guid="{D1467C25-646C-4F1A-9353-0E890E575522}" scale="85" showGridLines="0" printArea="1" topLeftCell="A84">
      <selection activeCell="C157" sqref="C157"/>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6"/>
      <headerFooter scaleWithDoc="0" alignWithMargins="0">
        <oddFooter>&amp;C&amp;8&amp;P</oddFooter>
        <firstFooter>&amp;C28</firstFooter>
      </headerFooter>
    </customSheetView>
    <customSheetView guid="{3A50DD26-AAF5-43D4-97DE-BAE3367A2F29}" scale="85" showGridLines="0" printArea="1">
      <selection activeCell="C2" sqref="C2"/>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7"/>
      <headerFooter scaleWithDoc="0" alignWithMargins="0">
        <oddFooter>&amp;C&amp;8&amp;P</oddFooter>
        <firstFooter>&amp;C28</firstFooter>
      </headerFooter>
    </customSheetView>
    <customSheetView guid="{C3636880-B45B-4897-94F2-F91976416934}" scale="85" showGridLines="0" printArea="1">
      <selection sqref="A1:K23"/>
      <rowBreaks count="2" manualBreakCount="2">
        <brk id="60" max="11" man="1"/>
        <brk id="113" max="11" man="1"/>
      </rowBreaks>
      <pageMargins left="0.5" right="0.25" top="0.32" bottom="0.25" header="0.27" footer="0.1"/>
      <printOptions horizontalCentered="1"/>
      <pageSetup scale="59" firstPageNumber="38" fitToHeight="3" orientation="landscape" useFirstPageNumber="1" r:id="rId8"/>
      <headerFooter scaleWithDoc="0" alignWithMargins="0">
        <oddFooter>&amp;C&amp;8&amp;P</oddFooter>
        <firstFooter>&amp;C28</firstFooter>
      </headerFooter>
    </customSheetView>
  </customSheetViews>
  <printOptions horizontalCentered="1"/>
  <pageMargins left="0.5" right="0.25" top="0.32" bottom="0.25" header="0.27" footer="0.1"/>
  <pageSetup scale="59" firstPageNumber="38" fitToHeight="3" orientation="landscape" useFirstPageNumber="1" r:id="rId9"/>
  <headerFooter scaleWithDoc="0" alignWithMargins="0">
    <oddFooter>&amp;C&amp;8&amp;P</oddFooter>
    <firstFooter>&amp;C28</firstFooter>
  </headerFooter>
  <rowBreaks count="2" manualBreakCount="2">
    <brk id="60" max="11" man="1"/>
    <brk id="113" max="11" man="1"/>
  </rowBreaks>
  <customProperties>
    <customPr name="SheetOptions" r:id="rId10"/>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88671875" defaultRowHeight="18"/>
  <cols>
    <col min="1" max="1" width="55.88671875" style="690" customWidth="1"/>
    <col min="2" max="2" width="6.109375" style="690" customWidth="1"/>
    <col min="3" max="3" width="20.88671875" style="690" customWidth="1"/>
    <col min="4" max="4" width="1.88671875" style="690" customWidth="1"/>
    <col min="5" max="5" width="20.88671875" style="690" customWidth="1"/>
    <col min="6" max="6" width="1.88671875" style="690" customWidth="1"/>
    <col min="7" max="7" width="20.88671875" style="690" customWidth="1"/>
    <col min="8" max="8" width="1.88671875" style="690" customWidth="1"/>
    <col min="9" max="9" width="20.88671875" style="690" customWidth="1"/>
    <col min="10" max="10" width="1.88671875" style="690" customWidth="1"/>
    <col min="11" max="11" width="20.88671875" style="690" customWidth="1"/>
    <col min="12" max="12" width="1.88671875" style="690" customWidth="1"/>
    <col min="13" max="13" width="9.88671875" style="690" bestFit="1" customWidth="1"/>
    <col min="14" max="16384" width="8.88671875" style="690"/>
  </cols>
  <sheetData>
    <row r="1" spans="1:11">
      <c r="A1" s="265" t="s">
        <v>97</v>
      </c>
    </row>
    <row r="2" spans="1:11">
      <c r="A2" s="836"/>
    </row>
    <row r="3" spans="1:11" s="138" customFormat="1" ht="18" customHeight="1">
      <c r="A3" s="142" t="s">
        <v>98</v>
      </c>
      <c r="B3" s="837"/>
      <c r="C3" s="837"/>
      <c r="D3" s="837"/>
      <c r="E3" s="1142"/>
      <c r="F3" s="1142"/>
      <c r="I3" s="142"/>
      <c r="J3" s="142"/>
      <c r="K3" s="145" t="s">
        <v>739</v>
      </c>
    </row>
    <row r="4" spans="1:11" s="138" customFormat="1" ht="18" customHeight="1">
      <c r="A4" s="142" t="s">
        <v>200</v>
      </c>
      <c r="B4" s="837"/>
      <c r="C4" s="837"/>
      <c r="D4" s="837"/>
      <c r="E4" s="1142"/>
      <c r="F4" s="1142"/>
      <c r="I4" s="142"/>
      <c r="J4" s="142"/>
      <c r="K4" s="142"/>
    </row>
    <row r="5" spans="1:11" s="138" customFormat="1" ht="18" customHeight="1">
      <c r="A5" s="148" t="s">
        <v>740</v>
      </c>
      <c r="B5" s="837"/>
      <c r="C5" s="837"/>
      <c r="D5" s="837"/>
      <c r="E5" s="1142"/>
      <c r="F5" s="1142"/>
      <c r="I5" s="142"/>
      <c r="J5" s="142"/>
      <c r="K5" s="142"/>
    </row>
    <row r="6" spans="1:11" s="138" customFormat="1" ht="18" customHeight="1">
      <c r="A6" s="148" t="s">
        <v>741</v>
      </c>
      <c r="B6" s="837"/>
      <c r="C6" s="837"/>
      <c r="D6" s="837"/>
      <c r="E6" s="1142"/>
      <c r="F6" s="1142"/>
      <c r="I6" s="142"/>
      <c r="J6" s="142"/>
      <c r="K6" s="142"/>
    </row>
    <row r="7" spans="1:11" s="138" customFormat="1" ht="18" customHeight="1">
      <c r="A7" s="148" t="str">
        <f>'Sch 1 '!A7</f>
        <v>FISCAL YEAR 2026-2027</v>
      </c>
      <c r="B7" s="837"/>
      <c r="C7" s="837"/>
      <c r="D7" s="837"/>
      <c r="E7" s="1142"/>
      <c r="F7" s="1142"/>
      <c r="I7" s="142"/>
      <c r="J7" s="142"/>
      <c r="K7" s="142"/>
    </row>
    <row r="8" spans="1:11" s="138" customFormat="1" ht="18" customHeight="1">
      <c r="A8" s="148" t="str">
        <f>'Sch 1 '!A8</f>
        <v>FOR THE MONTH OF JUNE 2026</v>
      </c>
      <c r="B8" s="837"/>
      <c r="C8" s="837"/>
      <c r="D8" s="837"/>
      <c r="E8" s="1142" t="s">
        <v>103</v>
      </c>
      <c r="G8" s="1142"/>
      <c r="I8" s="142"/>
      <c r="J8" s="142"/>
      <c r="K8" s="142"/>
    </row>
    <row r="9" spans="1:11" s="138" customFormat="1" ht="18" customHeight="1">
      <c r="A9" s="142" t="s">
        <v>102</v>
      </c>
      <c r="B9" s="837"/>
      <c r="C9" s="837"/>
      <c r="D9" s="837"/>
      <c r="E9" s="1142"/>
      <c r="F9" s="1142"/>
      <c r="I9" s="142"/>
      <c r="J9" s="142"/>
      <c r="K9" s="142"/>
    </row>
    <row r="10" spans="1:11" s="138" customFormat="1">
      <c r="A10" s="142"/>
      <c r="B10" s="142"/>
      <c r="D10" s="142"/>
    </row>
    <row r="11" spans="1:11" s="138" customFormat="1">
      <c r="A11" s="142"/>
      <c r="B11" s="142"/>
      <c r="C11" s="142"/>
      <c r="D11" s="142"/>
      <c r="E11" s="142"/>
      <c r="F11" s="142"/>
      <c r="G11" s="142"/>
      <c r="H11" s="142"/>
      <c r="I11" s="142"/>
      <c r="J11" s="142"/>
      <c r="K11" s="142"/>
    </row>
    <row r="12" spans="1:11" s="138" customFormat="1">
      <c r="A12" s="142"/>
      <c r="B12" s="142"/>
      <c r="C12" s="158"/>
      <c r="D12" s="142"/>
      <c r="E12" s="142"/>
      <c r="F12" s="142"/>
      <c r="G12" s="142"/>
      <c r="H12" s="142"/>
      <c r="I12" s="158" t="s">
        <v>742</v>
      </c>
      <c r="J12" s="142"/>
      <c r="K12" s="158"/>
    </row>
    <row r="13" spans="1:11" s="138" customFormat="1">
      <c r="A13" s="142"/>
      <c r="B13" s="142"/>
      <c r="C13" s="158" t="s">
        <v>608</v>
      </c>
      <c r="D13" s="142"/>
      <c r="E13" s="142"/>
      <c r="F13" s="142"/>
      <c r="G13" s="142"/>
      <c r="H13" s="142"/>
      <c r="I13" s="158" t="s">
        <v>743</v>
      </c>
      <c r="J13" s="142"/>
      <c r="K13" s="158" t="s">
        <v>608</v>
      </c>
    </row>
    <row r="14" spans="1:11" s="138" customFormat="1">
      <c r="A14" s="157" t="s">
        <v>744</v>
      </c>
      <c r="B14" s="142"/>
      <c r="C14" s="1143" t="str">
        <f>'Sch 1 '!C11</f>
        <v>JUNE 1, 2026</v>
      </c>
      <c r="D14" s="142"/>
      <c r="E14" s="158" t="s">
        <v>610</v>
      </c>
      <c r="F14" s="142"/>
      <c r="G14" s="158" t="s">
        <v>611</v>
      </c>
      <c r="H14" s="142"/>
      <c r="I14" s="158" t="s">
        <v>612</v>
      </c>
      <c r="J14" s="142"/>
      <c r="K14" s="371" t="str">
        <f>'Sch 1 '!K11</f>
        <v>JUNE 30, 2026</v>
      </c>
    </row>
    <row r="15" spans="1:11" s="138" customFormat="1" ht="12" customHeight="1">
      <c r="C15" s="1144"/>
      <c r="E15" s="1078"/>
      <c r="G15" s="1078"/>
      <c r="I15" s="1078"/>
      <c r="K15" s="1078"/>
    </row>
    <row r="16" spans="1:11" s="138" customFormat="1">
      <c r="A16" s="149" t="s">
        <v>589</v>
      </c>
      <c r="E16" s="146"/>
    </row>
    <row r="17" spans="1:12" s="138" customFormat="1" ht="9.6" customHeight="1">
      <c r="E17" s="146"/>
    </row>
    <row r="18" spans="1:12" s="138" customFormat="1" ht="16.5" customHeight="1">
      <c r="A18" s="942" t="s">
        <v>745</v>
      </c>
      <c r="C18" s="1691">
        <v>423.68400000000003</v>
      </c>
      <c r="D18" s="1646"/>
      <c r="E18" s="1691">
        <v>9.0579999999999998</v>
      </c>
      <c r="F18" s="1646"/>
      <c r="G18" s="1691">
        <v>8.6969999999999992</v>
      </c>
      <c r="H18" s="1646"/>
      <c r="I18" s="1691">
        <v>0</v>
      </c>
      <c r="J18" s="1646"/>
      <c r="K18" s="589">
        <f>ROUND(SUM(C18)+SUM(E18)-SUM(G18)+SUM(I18),3)</f>
        <v>424.04500000000002</v>
      </c>
      <c r="L18" s="296"/>
    </row>
    <row r="19" spans="1:12" s="138" customFormat="1" ht="16.350000000000001" customHeight="1">
      <c r="A19" s="138" t="s">
        <v>746</v>
      </c>
      <c r="B19" s="139"/>
      <c r="C19" s="590">
        <v>0.33800000000000002</v>
      </c>
      <c r="D19" s="588"/>
      <c r="E19" s="590">
        <v>5.0000000000000001E-3</v>
      </c>
      <c r="F19" s="588"/>
      <c r="G19" s="590">
        <v>5.0000000000000001E-3</v>
      </c>
      <c r="H19" s="588"/>
      <c r="I19" s="590">
        <v>0</v>
      </c>
      <c r="J19" s="588"/>
      <c r="K19" s="591">
        <f t="shared" ref="K19:K25" si="0">ROUND(SUM(C19)+SUM(E19)-SUM(G19)+SUM(I19),3)</f>
        <v>0.33800000000000002</v>
      </c>
      <c r="L19" s="296"/>
    </row>
    <row r="20" spans="1:12" s="138" customFormat="1" ht="15.75" customHeight="1">
      <c r="A20" s="138" t="s">
        <v>747</v>
      </c>
      <c r="C20" s="590">
        <v>15.750999999999999</v>
      </c>
      <c r="D20" s="588"/>
      <c r="E20" s="590">
        <v>1.0900000000000001</v>
      </c>
      <c r="F20" s="588"/>
      <c r="G20" s="590">
        <v>0.497</v>
      </c>
      <c r="H20" s="588"/>
      <c r="I20" s="590">
        <v>0</v>
      </c>
      <c r="J20" s="588"/>
      <c r="K20" s="591">
        <f>ROUND(SUM(C20)+SUM(E20)-SUM(G20)+SUM(I20),3)</f>
        <v>16.344000000000001</v>
      </c>
      <c r="L20" s="296"/>
    </row>
    <row r="21" spans="1:12" s="138" customFormat="1" ht="16.350000000000001" customHeight="1">
      <c r="A21" s="138" t="s">
        <v>748</v>
      </c>
      <c r="C21" s="590">
        <v>5.9989999999999997</v>
      </c>
      <c r="D21" s="588"/>
      <c r="E21" s="590">
        <v>4.34</v>
      </c>
      <c r="F21" s="588"/>
      <c r="G21" s="590">
        <v>5.1639999999999997</v>
      </c>
      <c r="H21" s="588"/>
      <c r="I21" s="590">
        <v>0</v>
      </c>
      <c r="J21" s="588"/>
      <c r="K21" s="591">
        <f t="shared" si="0"/>
        <v>5.1749999999999998</v>
      </c>
      <c r="L21" s="296"/>
    </row>
    <row r="22" spans="1:12" s="138" customFormat="1" ht="16.350000000000001" customHeight="1">
      <c r="A22" s="138" t="s">
        <v>749</v>
      </c>
      <c r="C22" s="590">
        <v>12.577</v>
      </c>
      <c r="D22" s="588"/>
      <c r="E22" s="590">
        <v>5.0449999999999999</v>
      </c>
      <c r="F22" s="588"/>
      <c r="G22" s="590">
        <v>3.9769999999999999</v>
      </c>
      <c r="H22" s="588"/>
      <c r="I22" s="590">
        <v>0</v>
      </c>
      <c r="J22" s="588"/>
      <c r="K22" s="591">
        <f t="shared" si="0"/>
        <v>13.645</v>
      </c>
      <c r="L22" s="296"/>
    </row>
    <row r="23" spans="1:12" s="138" customFormat="1" ht="16.350000000000001" customHeight="1">
      <c r="A23" s="138" t="s">
        <v>750</v>
      </c>
      <c r="C23" s="590">
        <v>1.974</v>
      </c>
      <c r="D23" s="588"/>
      <c r="E23" s="590">
        <v>7.0000000000000001E-3</v>
      </c>
      <c r="F23" s="588"/>
      <c r="G23" s="590">
        <v>0</v>
      </c>
      <c r="H23" s="588"/>
      <c r="I23" s="590">
        <v>0</v>
      </c>
      <c r="J23" s="588"/>
      <c r="K23" s="591">
        <f t="shared" si="0"/>
        <v>1.9810000000000001</v>
      </c>
      <c r="L23" s="296"/>
    </row>
    <row r="24" spans="1:12" s="138" customFormat="1" ht="16.350000000000001" customHeight="1">
      <c r="A24" s="138" t="s">
        <v>751</v>
      </c>
      <c r="C24" s="590">
        <v>2.6040000000000001</v>
      </c>
      <c r="D24" s="588"/>
      <c r="E24" s="590">
        <v>1.9E-2</v>
      </c>
      <c r="F24" s="588"/>
      <c r="G24" s="590">
        <v>5.0000000000000001E-3</v>
      </c>
      <c r="H24" s="588"/>
      <c r="I24" s="590">
        <v>0</v>
      </c>
      <c r="J24" s="588"/>
      <c r="K24" s="591">
        <f t="shared" si="0"/>
        <v>2.6179999999999999</v>
      </c>
      <c r="L24" s="296"/>
    </row>
    <row r="25" spans="1:12" s="138" customFormat="1" ht="16.350000000000001" customHeight="1">
      <c r="A25" s="138" t="s">
        <v>752</v>
      </c>
      <c r="C25" s="590">
        <v>7.5709999999999997</v>
      </c>
      <c r="D25" s="588"/>
      <c r="E25" s="590">
        <v>0.251</v>
      </c>
      <c r="F25" s="588"/>
      <c r="G25" s="590">
        <v>9.6000000000000002E-2</v>
      </c>
      <c r="H25" s="588"/>
      <c r="I25" s="590">
        <v>0</v>
      </c>
      <c r="J25" s="588"/>
      <c r="K25" s="591">
        <f t="shared" si="0"/>
        <v>7.726</v>
      </c>
      <c r="L25" s="296"/>
    </row>
    <row r="26" spans="1:12" s="138" customFormat="1" ht="16.350000000000001" customHeight="1">
      <c r="A26" s="871" t="s">
        <v>753</v>
      </c>
      <c r="C26" s="590">
        <v>66.075999999999993</v>
      </c>
      <c r="D26" s="588"/>
      <c r="E26" s="590">
        <v>358.2</v>
      </c>
      <c r="F26" s="588"/>
      <c r="G26" s="590">
        <v>358.15</v>
      </c>
      <c r="H26" s="588"/>
      <c r="I26" s="590">
        <v>0</v>
      </c>
      <c r="J26" s="588"/>
      <c r="K26" s="591">
        <f>ROUND(SUM(C26)+SUM(E26)-SUM(G26)+SUM(I26),3)</f>
        <v>66.126000000000005</v>
      </c>
      <c r="L26" s="296"/>
    </row>
    <row r="27" spans="1:12" s="138" customFormat="1" ht="16.350000000000001" customHeight="1">
      <c r="A27" s="146" t="s">
        <v>754</v>
      </c>
      <c r="C27" s="590">
        <v>736.75300000000004</v>
      </c>
      <c r="D27" s="588"/>
      <c r="E27" s="590">
        <v>296.36099999999999</v>
      </c>
      <c r="F27" s="588"/>
      <c r="G27" s="590">
        <v>237.202</v>
      </c>
      <c r="H27" s="588"/>
      <c r="I27" s="590">
        <v>0</v>
      </c>
      <c r="J27" s="588"/>
      <c r="K27" s="591">
        <f>ROUND(SUM(C27)+SUM(E27)-SUM(G27)+SUM(I27),3)</f>
        <v>795.91200000000003</v>
      </c>
      <c r="L27" s="296"/>
    </row>
    <row r="28" spans="1:12" s="138" customFormat="1" ht="20.100000000000001" customHeight="1">
      <c r="A28" s="142" t="s">
        <v>755</v>
      </c>
      <c r="C28" s="1079">
        <f>ROUND(SUM(C18:C27),3)</f>
        <v>1273.327</v>
      </c>
      <c r="D28" s="293"/>
      <c r="E28" s="1079">
        <f>ROUND(SUM(E18:E27),3)</f>
        <v>674.37599999999998</v>
      </c>
      <c r="F28" s="293"/>
      <c r="G28" s="1079">
        <f>ROUND(SUM(G18:G27),3)</f>
        <v>613.79300000000001</v>
      </c>
      <c r="H28" s="293"/>
      <c r="I28" s="1079">
        <f>ROUND(SUM(I18:I27),3)</f>
        <v>0</v>
      </c>
      <c r="J28" s="293"/>
      <c r="K28" s="1079">
        <f>ROUND(SUM(K18:K27),3)</f>
        <v>1333.91</v>
      </c>
      <c r="L28" s="296"/>
    </row>
    <row r="29" spans="1:12" s="138" customFormat="1" ht="15" customHeight="1">
      <c r="C29" s="1080"/>
      <c r="D29" s="140"/>
      <c r="E29" s="1080"/>
      <c r="F29" s="140"/>
      <c r="G29" s="1080"/>
      <c r="H29" s="140"/>
      <c r="I29" s="140"/>
      <c r="J29" s="140"/>
      <c r="K29" s="1080"/>
      <c r="L29" s="296"/>
    </row>
    <row r="30" spans="1:12" s="138" customFormat="1" ht="15" customHeight="1">
      <c r="C30" s="140"/>
      <c r="D30" s="1701" t="s">
        <v>607</v>
      </c>
      <c r="E30" s="140"/>
      <c r="F30" s="140"/>
      <c r="G30" s="140"/>
      <c r="H30" s="140"/>
      <c r="I30" s="140"/>
      <c r="J30" s="140"/>
      <c r="K30" s="140"/>
      <c r="L30" s="296"/>
    </row>
    <row r="31" spans="1:12" s="138" customFormat="1" ht="15" customHeight="1">
      <c r="C31" s="140"/>
      <c r="D31" s="140"/>
      <c r="E31" s="140"/>
      <c r="F31" s="140"/>
      <c r="G31" s="140"/>
      <c r="H31" s="140"/>
      <c r="I31" s="140"/>
      <c r="J31" s="140"/>
      <c r="K31" s="140"/>
      <c r="L31" s="296"/>
    </row>
    <row r="32" spans="1:12" s="138" customFormat="1" ht="18" customHeight="1">
      <c r="A32" s="149" t="s">
        <v>596</v>
      </c>
      <c r="C32" s="140"/>
      <c r="D32" s="140"/>
      <c r="E32" s="140"/>
      <c r="F32" s="140"/>
      <c r="G32" s="140"/>
      <c r="H32" s="140"/>
      <c r="I32" s="140"/>
      <c r="J32" s="140"/>
      <c r="K32" s="140"/>
      <c r="L32" s="296"/>
    </row>
    <row r="33" spans="1:15" s="138" customFormat="1" ht="9.6" customHeight="1">
      <c r="A33" s="149"/>
      <c r="C33" s="140"/>
      <c r="D33" s="140"/>
      <c r="E33" s="140"/>
      <c r="F33" s="140"/>
      <c r="G33" s="140"/>
      <c r="H33" s="140"/>
      <c r="I33" s="140"/>
      <c r="J33" s="140"/>
      <c r="K33" s="140"/>
      <c r="L33" s="296"/>
    </row>
    <row r="34" spans="1:15" s="138" customFormat="1" ht="16.350000000000001" customHeight="1">
      <c r="A34" s="138" t="s">
        <v>756</v>
      </c>
      <c r="C34" s="590">
        <v>38.139000000000003</v>
      </c>
      <c r="D34" s="588"/>
      <c r="E34" s="590">
        <v>32.49</v>
      </c>
      <c r="F34" s="588"/>
      <c r="G34" s="590">
        <v>58.411999999999999</v>
      </c>
      <c r="H34" s="588"/>
      <c r="I34" s="590">
        <v>35.235999999999997</v>
      </c>
      <c r="J34" s="588"/>
      <c r="K34" s="591">
        <f t="shared" ref="K34:K41" si="1">ROUND(SUM(C34)+SUM(E34)-SUM(G34)+SUM(I34),3)</f>
        <v>47.453000000000003</v>
      </c>
      <c r="L34" s="296"/>
      <c r="M34" s="140"/>
    </row>
    <row r="35" spans="1:15" s="138" customFormat="1" ht="16.350000000000001" customHeight="1">
      <c r="A35" s="138" t="s">
        <v>757</v>
      </c>
      <c r="C35" s="590">
        <v>27.667999999999999</v>
      </c>
      <c r="D35" s="588"/>
      <c r="E35" s="590">
        <v>28.175000000000001</v>
      </c>
      <c r="F35" s="588"/>
      <c r="G35" s="590">
        <v>16.738</v>
      </c>
      <c r="H35" s="588"/>
      <c r="I35" s="590">
        <v>2.2490000000000001</v>
      </c>
      <c r="J35" s="588"/>
      <c r="K35" s="591">
        <f t="shared" si="1"/>
        <v>41.353999999999999</v>
      </c>
      <c r="L35" s="296"/>
      <c r="M35" s="140"/>
    </row>
    <row r="36" spans="1:15" s="138" customFormat="1" ht="16.350000000000001" customHeight="1">
      <c r="A36" s="138" t="s">
        <v>758</v>
      </c>
      <c r="C36" s="590">
        <v>1.23</v>
      </c>
      <c r="D36" s="588"/>
      <c r="E36" s="590">
        <v>5.1999999999999998E-2</v>
      </c>
      <c r="F36" s="588"/>
      <c r="G36" s="590">
        <v>6.4000000000000001E-2</v>
      </c>
      <c r="H36" s="588"/>
      <c r="I36" s="590">
        <v>0</v>
      </c>
      <c r="J36" s="588"/>
      <c r="K36" s="591">
        <f t="shared" si="1"/>
        <v>1.218</v>
      </c>
      <c r="L36" s="296"/>
      <c r="M36" s="140"/>
    </row>
    <row r="37" spans="1:15" s="138" customFormat="1" ht="16.350000000000001" customHeight="1">
      <c r="A37" s="138" t="s">
        <v>759</v>
      </c>
      <c r="C37" s="590">
        <v>7.0000000000000007E-2</v>
      </c>
      <c r="D37" s="588"/>
      <c r="E37" s="590">
        <v>0</v>
      </c>
      <c r="F37" s="588"/>
      <c r="G37" s="590">
        <v>0</v>
      </c>
      <c r="H37" s="588"/>
      <c r="I37" s="590">
        <v>0</v>
      </c>
      <c r="J37" s="588"/>
      <c r="K37" s="591">
        <f t="shared" si="1"/>
        <v>7.0000000000000007E-2</v>
      </c>
      <c r="L37" s="296"/>
      <c r="M37" s="140"/>
    </row>
    <row r="38" spans="1:15" s="138" customFormat="1" ht="16.350000000000001" customHeight="1">
      <c r="A38" s="138" t="s">
        <v>760</v>
      </c>
      <c r="C38" s="590">
        <v>0.13600000000000001</v>
      </c>
      <c r="D38" s="588"/>
      <c r="E38" s="590">
        <v>0.98899999999999999</v>
      </c>
      <c r="F38" s="588"/>
      <c r="G38" s="590">
        <v>0.221</v>
      </c>
      <c r="H38" s="588"/>
      <c r="I38" s="590">
        <v>-2E-3</v>
      </c>
      <c r="J38" s="588"/>
      <c r="K38" s="591">
        <f t="shared" si="1"/>
        <v>0.90200000000000002</v>
      </c>
      <c r="L38" s="296"/>
      <c r="M38" s="140"/>
    </row>
    <row r="39" spans="1:15" s="138" customFormat="1" ht="16.350000000000001" customHeight="1">
      <c r="A39" s="138" t="s">
        <v>761</v>
      </c>
      <c r="C39" s="590">
        <v>-35.198999999999998</v>
      </c>
      <c r="D39" s="588"/>
      <c r="E39" s="590">
        <v>0.75</v>
      </c>
      <c r="F39" s="588"/>
      <c r="G39" s="590">
        <v>7.4720000000000004</v>
      </c>
      <c r="H39" s="588"/>
      <c r="I39" s="590">
        <v>-0.16300000000000001</v>
      </c>
      <c r="J39" s="588"/>
      <c r="K39" s="591">
        <f t="shared" si="1"/>
        <v>-42.084000000000003</v>
      </c>
      <c r="L39" s="296"/>
      <c r="M39" s="140" t="s">
        <v>103</v>
      </c>
    </row>
    <row r="40" spans="1:15" s="138" customFormat="1" ht="16.350000000000001" customHeight="1">
      <c r="A40" s="138" t="s">
        <v>762</v>
      </c>
      <c r="C40" s="590">
        <v>-1.7669999999999999</v>
      </c>
      <c r="D40" s="588"/>
      <c r="E40" s="590">
        <v>0</v>
      </c>
      <c r="F40" s="588"/>
      <c r="G40" s="590">
        <v>2.657</v>
      </c>
      <c r="H40" s="588"/>
      <c r="I40" s="590">
        <v>-0.52500000000000002</v>
      </c>
      <c r="J40" s="588"/>
      <c r="K40" s="591">
        <f t="shared" si="1"/>
        <v>-4.9489999999999998</v>
      </c>
      <c r="L40" s="296"/>
      <c r="M40" s="140" t="s">
        <v>103</v>
      </c>
    </row>
    <row r="41" spans="1:15" s="138" customFormat="1" ht="16.350000000000001" customHeight="1">
      <c r="A41" s="138" t="s">
        <v>763</v>
      </c>
      <c r="C41" s="590">
        <v>19.587</v>
      </c>
      <c r="D41" s="588"/>
      <c r="E41" s="590">
        <v>2.0510000000000002</v>
      </c>
      <c r="F41" s="588"/>
      <c r="G41" s="590">
        <v>5.7850000000000001</v>
      </c>
      <c r="H41" s="588"/>
      <c r="I41" s="590">
        <v>0</v>
      </c>
      <c r="J41" s="588"/>
      <c r="K41" s="591">
        <f t="shared" si="1"/>
        <v>15.853</v>
      </c>
      <c r="L41" s="296"/>
      <c r="M41" s="140"/>
    </row>
    <row r="42" spans="1:15" s="138" customFormat="1" ht="20.100000000000001" customHeight="1">
      <c r="A42" s="142" t="s">
        <v>764</v>
      </c>
      <c r="C42" s="1079">
        <f>ROUND(SUM(C34:C41),3)</f>
        <v>49.863999999999997</v>
      </c>
      <c r="D42" s="294"/>
      <c r="E42" s="1079">
        <f>ROUND(SUM(E34:E41),3)</f>
        <v>64.507000000000005</v>
      </c>
      <c r="F42" s="294"/>
      <c r="G42" s="1079">
        <f>ROUND(SUM(G34:G41),3)</f>
        <v>91.349000000000004</v>
      </c>
      <c r="H42" s="294"/>
      <c r="I42" s="1079">
        <f>ROUND(SUM(I34:I41),3)</f>
        <v>36.795000000000002</v>
      </c>
      <c r="J42" s="294"/>
      <c r="K42" s="1079">
        <f>ROUND(SUM(K34:K41),3)</f>
        <v>59.817</v>
      </c>
      <c r="L42" s="296"/>
    </row>
    <row r="43" spans="1:15" s="138" customFormat="1" ht="15" customHeight="1">
      <c r="A43" s="142"/>
      <c r="C43" s="1930"/>
      <c r="D43" s="691"/>
      <c r="E43" s="1081"/>
      <c r="F43" s="691"/>
      <c r="G43" s="1081"/>
      <c r="H43" s="691"/>
      <c r="I43" s="1145"/>
      <c r="J43" s="691"/>
      <c r="K43" s="1081"/>
      <c r="L43" s="296"/>
    </row>
    <row r="44" spans="1:15" s="138" customFormat="1" ht="15" customHeight="1">
      <c r="A44" s="142"/>
      <c r="C44" s="1145"/>
      <c r="D44" s="691"/>
      <c r="E44" s="691"/>
      <c r="F44" s="691"/>
      <c r="G44" s="691" t="s">
        <v>103</v>
      </c>
      <c r="H44" s="691"/>
      <c r="I44" s="1145"/>
      <c r="J44" s="691"/>
      <c r="K44" s="691"/>
      <c r="L44" s="296"/>
    </row>
    <row r="45" spans="1:15" s="138" customFormat="1" ht="20.100000000000001" customHeight="1" thickBot="1">
      <c r="A45" s="142" t="s">
        <v>203</v>
      </c>
      <c r="B45" s="139"/>
      <c r="C45" s="692">
        <f>ROUND(SUM(C42)+SUM(C28),3)</f>
        <v>1323.191</v>
      </c>
      <c r="D45" s="297"/>
      <c r="E45" s="692">
        <f>ROUND(SUM(E42)+SUM(E28),3)</f>
        <v>738.88300000000004</v>
      </c>
      <c r="F45" s="297"/>
      <c r="G45" s="692">
        <f>ROUND(SUM(G42)+SUM(G28),3)</f>
        <v>705.14200000000005</v>
      </c>
      <c r="H45" s="297"/>
      <c r="I45" s="692">
        <f>ROUND(SUM(I42)+SUM(I28),3)</f>
        <v>36.795000000000002</v>
      </c>
      <c r="J45" s="297"/>
      <c r="K45" s="692">
        <f>ROUND(SUM(K42)+SUM(K28),3)</f>
        <v>1393.7270000000001</v>
      </c>
      <c r="L45" s="296"/>
    </row>
    <row r="46" spans="1:15" s="138" customFormat="1" ht="18.75" thickTop="1">
      <c r="C46" s="693"/>
      <c r="D46" s="691"/>
      <c r="E46" s="693" t="s">
        <v>103</v>
      </c>
      <c r="F46" s="691"/>
      <c r="G46" s="693"/>
      <c r="H46" s="691"/>
      <c r="I46" s="292"/>
      <c r="J46" s="691"/>
      <c r="K46" s="693"/>
    </row>
    <row r="47" spans="1:15" s="138" customFormat="1">
      <c r="A47" s="838"/>
      <c r="B47" s="690"/>
      <c r="C47" s="694"/>
      <c r="D47" s="694"/>
      <c r="E47" s="1146" t="s">
        <v>103</v>
      </c>
      <c r="F47" s="1146"/>
      <c r="G47" s="1147"/>
      <c r="H47" s="1146" t="s">
        <v>103</v>
      </c>
      <c r="I47" s="1148" t="s">
        <v>103</v>
      </c>
      <c r="J47" s="694"/>
      <c r="K47" s="839"/>
      <c r="L47" s="690"/>
      <c r="M47" s="690"/>
      <c r="N47" s="690"/>
      <c r="O47" s="690"/>
    </row>
    <row r="48" spans="1:15" s="138" customFormat="1">
      <c r="A48" s="690"/>
      <c r="B48" s="690"/>
      <c r="C48" s="694"/>
      <c r="D48" s="694"/>
      <c r="E48" s="299" t="s">
        <v>103</v>
      </c>
      <c r="F48" s="299"/>
      <c r="G48" s="299"/>
      <c r="H48" s="299"/>
      <c r="I48" s="299" t="s">
        <v>103</v>
      </c>
      <c r="J48" s="299"/>
      <c r="K48" s="299"/>
      <c r="L48" s="690"/>
      <c r="M48" s="690"/>
      <c r="N48" s="690"/>
      <c r="O48" s="690"/>
    </row>
    <row r="49" spans="1:15" s="138" customFormat="1">
      <c r="A49" s="690"/>
      <c r="B49" s="690"/>
      <c r="C49" s="694"/>
      <c r="D49" s="694"/>
      <c r="E49" s="694" t="s">
        <v>103</v>
      </c>
      <c r="F49" s="694"/>
      <c r="G49" s="1149"/>
      <c r="H49" s="690"/>
      <c r="I49" s="1150" t="s">
        <v>103</v>
      </c>
      <c r="J49" s="694"/>
      <c r="K49" s="694"/>
      <c r="L49" s="690"/>
      <c r="M49" s="690"/>
      <c r="N49" s="690"/>
      <c r="O49" s="690"/>
    </row>
    <row r="50" spans="1:15" s="138" customFormat="1">
      <c r="A50" s="690"/>
      <c r="B50" s="690"/>
      <c r="C50" s="694"/>
      <c r="D50" s="694"/>
      <c r="E50" s="299" t="s">
        <v>103</v>
      </c>
      <c r="F50" s="694"/>
      <c r="G50" s="694"/>
      <c r="H50" s="690"/>
      <c r="I50" s="1150" t="s">
        <v>103</v>
      </c>
      <c r="J50" s="694"/>
      <c r="K50" s="694"/>
      <c r="L50" s="690"/>
      <c r="M50" s="690"/>
      <c r="N50" s="690"/>
      <c r="O50" s="690"/>
    </row>
    <row r="51" spans="1:15" s="138" customFormat="1">
      <c r="A51" s="690"/>
      <c r="B51" s="690"/>
      <c r="C51" s="694"/>
      <c r="D51" s="694"/>
      <c r="E51" s="299" t="s">
        <v>103</v>
      </c>
      <c r="F51" s="694"/>
      <c r="G51" s="694"/>
      <c r="H51" s="690"/>
      <c r="I51" s="1150" t="s">
        <v>103</v>
      </c>
      <c r="J51" s="694"/>
      <c r="K51" s="694"/>
      <c r="L51" s="690"/>
      <c r="M51" s="690"/>
      <c r="N51" s="690"/>
      <c r="O51" s="690"/>
    </row>
    <row r="52" spans="1:15" s="138" customFormat="1">
      <c r="A52" s="690"/>
      <c r="B52" s="690"/>
      <c r="C52" s="694"/>
      <c r="D52" s="694"/>
      <c r="E52" s="694"/>
      <c r="F52" s="694"/>
      <c r="G52" s="694"/>
      <c r="H52" s="690"/>
      <c r="I52" s="1150" t="s">
        <v>103</v>
      </c>
      <c r="J52" s="694"/>
      <c r="K52" s="694"/>
      <c r="L52" s="690"/>
      <c r="M52" s="690"/>
      <c r="N52" s="690"/>
      <c r="O52" s="690"/>
    </row>
    <row r="53" spans="1:15" s="138" customFormat="1">
      <c r="B53" s="690"/>
      <c r="C53" s="694"/>
      <c r="D53" s="694"/>
      <c r="E53" s="694"/>
      <c r="F53" s="694"/>
      <c r="G53" s="694"/>
      <c r="H53" s="690"/>
      <c r="I53" s="1150" t="s">
        <v>103</v>
      </c>
      <c r="J53" s="694"/>
      <c r="K53" s="694"/>
      <c r="L53" s="690"/>
      <c r="M53" s="690"/>
      <c r="N53" s="690"/>
      <c r="O53" s="690"/>
    </row>
    <row r="54" spans="1:15" s="138" customFormat="1">
      <c r="A54" s="690"/>
      <c r="B54" s="690"/>
      <c r="C54" s="694"/>
      <c r="D54" s="694"/>
      <c r="E54" s="694"/>
      <c r="F54" s="694"/>
      <c r="G54" s="694"/>
      <c r="H54" s="690"/>
      <c r="I54" s="690"/>
      <c r="J54" s="694"/>
      <c r="K54" s="694"/>
      <c r="L54" s="690"/>
      <c r="M54" s="690"/>
      <c r="N54" s="690"/>
      <c r="O54" s="690"/>
    </row>
    <row r="55" spans="1:15" s="138" customFormat="1">
      <c r="A55" s="690"/>
      <c r="B55" s="690"/>
      <c r="C55" s="694"/>
      <c r="D55" s="694"/>
      <c r="E55" s="694"/>
      <c r="F55" s="694"/>
      <c r="G55" s="694"/>
      <c r="H55" s="690"/>
      <c r="I55" s="690"/>
      <c r="J55" s="694"/>
      <c r="K55" s="694"/>
      <c r="L55" s="690"/>
      <c r="M55" s="690"/>
      <c r="N55" s="690"/>
      <c r="O55" s="690"/>
    </row>
    <row r="56" spans="1:15" s="138" customFormat="1">
      <c r="A56" s="690"/>
      <c r="B56" s="690"/>
      <c r="C56" s="694"/>
      <c r="D56" s="694"/>
      <c r="E56" s="694"/>
      <c r="F56" s="694"/>
      <c r="G56" s="694"/>
      <c r="H56" s="690"/>
      <c r="I56" s="690"/>
      <c r="J56" s="694"/>
      <c r="K56" s="694"/>
      <c r="L56" s="690"/>
      <c r="M56" s="690"/>
      <c r="N56" s="690"/>
      <c r="O56" s="690"/>
    </row>
    <row r="57" spans="1:15" s="138" customFormat="1">
      <c r="A57" s="690"/>
      <c r="B57" s="690"/>
      <c r="C57" s="694"/>
      <c r="D57" s="694"/>
      <c r="E57" s="694"/>
      <c r="F57" s="694"/>
      <c r="G57" s="694"/>
      <c r="H57" s="690"/>
      <c r="I57" s="690"/>
      <c r="J57" s="694"/>
      <c r="K57" s="694"/>
      <c r="L57" s="690"/>
      <c r="M57" s="690"/>
      <c r="N57" s="690"/>
      <c r="O57" s="690"/>
    </row>
    <row r="58" spans="1:15" s="138" customFormat="1">
      <c r="A58" s="690"/>
      <c r="B58" s="690"/>
      <c r="C58" s="694"/>
      <c r="D58" s="694"/>
      <c r="E58" s="694"/>
      <c r="F58" s="694"/>
      <c r="G58" s="694"/>
      <c r="H58" s="690"/>
      <c r="I58" s="690"/>
      <c r="J58" s="694"/>
      <c r="K58" s="694"/>
      <c r="L58" s="690"/>
      <c r="M58" s="690"/>
      <c r="N58" s="690"/>
      <c r="O58" s="690"/>
    </row>
    <row r="59" spans="1:15" s="138" customFormat="1">
      <c r="A59" s="690"/>
      <c r="B59" s="690"/>
      <c r="C59" s="694"/>
      <c r="D59" s="694"/>
      <c r="E59" s="694"/>
      <c r="F59" s="694"/>
      <c r="G59" s="694"/>
      <c r="H59" s="690"/>
      <c r="I59" s="690"/>
      <c r="J59" s="694"/>
      <c r="K59" s="694"/>
      <c r="L59" s="690"/>
      <c r="M59" s="690"/>
      <c r="N59" s="690"/>
      <c r="O59" s="690"/>
    </row>
    <row r="60" spans="1:15" s="138" customFormat="1">
      <c r="A60" s="690"/>
      <c r="B60" s="690"/>
      <c r="C60" s="694"/>
      <c r="D60" s="694"/>
      <c r="E60" s="694"/>
      <c r="F60" s="694"/>
      <c r="G60" s="694"/>
      <c r="H60" s="690"/>
      <c r="I60" s="690"/>
      <c r="J60" s="694"/>
      <c r="K60" s="694"/>
      <c r="L60" s="690"/>
      <c r="M60" s="690"/>
      <c r="N60" s="690"/>
      <c r="O60" s="690"/>
    </row>
    <row r="61" spans="1:15" s="138" customFormat="1">
      <c r="A61" s="690"/>
      <c r="B61" s="690"/>
      <c r="C61" s="694"/>
      <c r="D61" s="694"/>
      <c r="E61" s="694"/>
      <c r="F61" s="694"/>
      <c r="G61" s="694"/>
      <c r="H61" s="690"/>
      <c r="I61" s="690"/>
      <c r="J61" s="694"/>
      <c r="K61" s="694"/>
      <c r="L61" s="690"/>
      <c r="M61" s="690"/>
      <c r="N61" s="690"/>
      <c r="O61" s="690"/>
    </row>
    <row r="62" spans="1:15" s="138" customFormat="1">
      <c r="A62" s="690"/>
      <c r="B62" s="690"/>
      <c r="C62" s="694"/>
      <c r="D62" s="694"/>
      <c r="E62" s="694"/>
      <c r="F62" s="694"/>
      <c r="G62" s="694"/>
      <c r="H62" s="690"/>
      <c r="I62" s="690"/>
      <c r="J62" s="694"/>
      <c r="K62" s="694"/>
      <c r="L62" s="690"/>
      <c r="M62" s="690"/>
      <c r="N62" s="690"/>
      <c r="O62" s="690"/>
    </row>
    <row r="63" spans="1:15" s="138" customFormat="1">
      <c r="A63" s="690"/>
      <c r="B63" s="690"/>
      <c r="C63" s="694"/>
      <c r="D63" s="694"/>
      <c r="E63" s="694"/>
      <c r="F63" s="694"/>
      <c r="G63" s="694"/>
      <c r="H63" s="690"/>
      <c r="I63" s="690"/>
      <c r="J63" s="694"/>
      <c r="K63" s="694"/>
      <c r="L63" s="690"/>
      <c r="M63" s="690"/>
      <c r="N63" s="690"/>
      <c r="O63" s="690"/>
    </row>
    <row r="64" spans="1:15" s="138" customFormat="1">
      <c r="A64" s="690"/>
      <c r="B64" s="690"/>
      <c r="C64" s="694"/>
      <c r="D64" s="694"/>
      <c r="E64" s="694"/>
      <c r="F64" s="694"/>
      <c r="G64" s="694"/>
      <c r="H64" s="690"/>
      <c r="I64" s="690"/>
      <c r="J64" s="694"/>
      <c r="K64" s="694"/>
      <c r="L64" s="690"/>
      <c r="M64" s="690"/>
      <c r="N64" s="690"/>
      <c r="O64" s="690"/>
    </row>
    <row r="65" spans="1:15" s="138" customFormat="1">
      <c r="A65" s="690"/>
      <c r="B65" s="690"/>
      <c r="C65" s="694"/>
      <c r="D65" s="694"/>
      <c r="E65" s="694"/>
      <c r="F65" s="694"/>
      <c r="G65" s="694"/>
      <c r="H65" s="690"/>
      <c r="I65" s="690"/>
      <c r="J65" s="694"/>
      <c r="K65" s="694"/>
      <c r="L65" s="690"/>
      <c r="M65" s="690"/>
      <c r="N65" s="690"/>
      <c r="O65" s="690"/>
    </row>
    <row r="66" spans="1:15" s="138" customFormat="1">
      <c r="A66" s="690"/>
      <c r="B66" s="690"/>
      <c r="C66" s="694"/>
      <c r="D66" s="694"/>
      <c r="E66" s="694"/>
      <c r="F66" s="694"/>
      <c r="G66" s="694"/>
      <c r="H66" s="690"/>
      <c r="I66" s="690"/>
      <c r="J66" s="694"/>
      <c r="K66" s="694"/>
      <c r="L66" s="690"/>
      <c r="M66" s="690"/>
      <c r="N66" s="690"/>
      <c r="O66" s="690"/>
    </row>
    <row r="67" spans="1:15" s="138" customFormat="1">
      <c r="A67" s="690"/>
      <c r="B67" s="690"/>
      <c r="C67" s="694"/>
      <c r="D67" s="694"/>
      <c r="E67" s="694"/>
      <c r="F67" s="694"/>
      <c r="G67" s="694"/>
      <c r="H67" s="690"/>
      <c r="I67" s="690"/>
      <c r="J67" s="694"/>
      <c r="K67" s="694"/>
      <c r="L67" s="690"/>
      <c r="M67" s="690"/>
      <c r="N67" s="690"/>
      <c r="O67" s="690"/>
    </row>
    <row r="68" spans="1:15" s="138" customFormat="1">
      <c r="A68" s="690"/>
      <c r="B68" s="690"/>
      <c r="C68" s="694"/>
      <c r="D68" s="694"/>
      <c r="E68" s="694"/>
      <c r="F68" s="694"/>
      <c r="G68" s="694"/>
      <c r="H68" s="690"/>
      <c r="I68" s="690"/>
      <c r="J68" s="694"/>
      <c r="K68" s="694"/>
      <c r="L68" s="690"/>
      <c r="M68" s="690"/>
      <c r="N68" s="690"/>
      <c r="O68" s="690"/>
    </row>
    <row r="69" spans="1:15" s="138" customFormat="1">
      <c r="A69" s="690"/>
      <c r="B69" s="690"/>
      <c r="C69" s="694"/>
      <c r="D69" s="694"/>
      <c r="E69" s="694"/>
      <c r="F69" s="694"/>
      <c r="G69" s="694"/>
      <c r="H69" s="690"/>
      <c r="I69" s="690"/>
      <c r="J69" s="694"/>
      <c r="K69" s="694"/>
      <c r="L69" s="690"/>
      <c r="M69" s="690"/>
      <c r="N69" s="690"/>
      <c r="O69" s="690"/>
    </row>
    <row r="70" spans="1:15" s="138" customFormat="1">
      <c r="A70" s="690"/>
      <c r="B70" s="690"/>
      <c r="C70" s="694"/>
      <c r="D70" s="694"/>
      <c r="E70" s="694"/>
      <c r="F70" s="694"/>
      <c r="G70" s="694"/>
      <c r="H70" s="690"/>
      <c r="I70" s="690"/>
      <c r="J70" s="694"/>
      <c r="K70" s="694"/>
      <c r="L70" s="690"/>
      <c r="M70" s="690"/>
      <c r="N70" s="690"/>
      <c r="O70" s="690"/>
    </row>
    <row r="71" spans="1:15" s="138" customFormat="1">
      <c r="A71" s="690"/>
      <c r="B71" s="690"/>
      <c r="C71" s="694"/>
      <c r="D71" s="694"/>
      <c r="E71" s="694"/>
      <c r="F71" s="694"/>
      <c r="G71" s="694"/>
      <c r="H71" s="690"/>
      <c r="I71" s="690"/>
      <c r="J71" s="694"/>
      <c r="K71" s="694"/>
      <c r="L71" s="690"/>
      <c r="M71" s="690"/>
      <c r="N71" s="690"/>
      <c r="O71" s="690"/>
    </row>
    <row r="72" spans="1:15" s="138" customFormat="1">
      <c r="A72" s="690"/>
      <c r="B72" s="690"/>
      <c r="C72" s="694"/>
      <c r="D72" s="694"/>
      <c r="E72" s="694"/>
      <c r="F72" s="694"/>
      <c r="G72" s="694"/>
      <c r="H72" s="690"/>
      <c r="I72" s="690"/>
      <c r="J72" s="694"/>
      <c r="K72" s="694"/>
      <c r="L72" s="690"/>
      <c r="M72" s="690"/>
      <c r="N72" s="690"/>
      <c r="O72" s="690"/>
    </row>
    <row r="73" spans="1:15" s="138" customFormat="1">
      <c r="A73" s="690"/>
      <c r="B73" s="690"/>
      <c r="C73" s="694"/>
      <c r="D73" s="694"/>
      <c r="E73" s="694"/>
      <c r="F73" s="694"/>
      <c r="G73" s="694"/>
      <c r="H73" s="690"/>
      <c r="I73" s="690"/>
      <c r="J73" s="694"/>
      <c r="K73" s="694"/>
      <c r="L73" s="690"/>
      <c r="M73" s="690"/>
      <c r="N73" s="690"/>
      <c r="O73" s="690"/>
    </row>
    <row r="74" spans="1:15" s="138" customFormat="1">
      <c r="A74" s="690"/>
      <c r="B74" s="690"/>
      <c r="C74" s="694"/>
      <c r="D74" s="694"/>
      <c r="E74" s="694"/>
      <c r="F74" s="694"/>
      <c r="G74" s="694"/>
      <c r="H74" s="690"/>
      <c r="I74" s="690"/>
      <c r="J74" s="694"/>
      <c r="K74" s="694"/>
      <c r="L74" s="690"/>
      <c r="M74" s="690"/>
      <c r="N74" s="690"/>
      <c r="O74" s="690"/>
    </row>
    <row r="75" spans="1:15" s="138" customFormat="1">
      <c r="A75" s="690"/>
      <c r="B75" s="690"/>
      <c r="C75" s="694"/>
      <c r="D75" s="694"/>
      <c r="E75" s="694"/>
      <c r="F75" s="694"/>
      <c r="G75" s="694"/>
      <c r="H75" s="690"/>
      <c r="I75" s="690"/>
      <c r="J75" s="694"/>
      <c r="K75" s="694"/>
      <c r="L75" s="690"/>
      <c r="M75" s="690"/>
      <c r="N75" s="690"/>
      <c r="O75" s="690"/>
    </row>
    <row r="76" spans="1:15" s="138" customFormat="1">
      <c r="A76" s="690"/>
      <c r="B76" s="690"/>
      <c r="C76" s="694"/>
      <c r="D76" s="694"/>
      <c r="E76" s="694"/>
      <c r="F76" s="694"/>
      <c r="G76" s="694"/>
      <c r="H76" s="690"/>
      <c r="I76" s="690"/>
      <c r="J76" s="694"/>
      <c r="K76" s="694"/>
      <c r="L76" s="690"/>
      <c r="M76" s="690"/>
      <c r="N76" s="690"/>
      <c r="O76" s="690"/>
    </row>
    <row r="77" spans="1:15" s="138" customFormat="1">
      <c r="A77" s="690"/>
      <c r="B77" s="690"/>
      <c r="C77" s="694"/>
      <c r="D77" s="694"/>
      <c r="E77" s="694"/>
      <c r="F77" s="694"/>
      <c r="G77" s="694"/>
      <c r="H77" s="690"/>
      <c r="I77" s="690"/>
      <c r="J77" s="694"/>
      <c r="K77" s="694"/>
      <c r="L77" s="690"/>
      <c r="M77" s="690"/>
      <c r="N77" s="690"/>
      <c r="O77" s="690"/>
    </row>
    <row r="78" spans="1:15" s="138" customFormat="1">
      <c r="A78" s="690"/>
      <c r="B78" s="690"/>
      <c r="C78" s="694"/>
      <c r="D78" s="694"/>
      <c r="E78" s="694"/>
      <c r="F78" s="694"/>
      <c r="G78" s="694"/>
      <c r="H78" s="690"/>
      <c r="I78" s="690"/>
      <c r="J78" s="694"/>
      <c r="K78" s="694"/>
      <c r="L78" s="690"/>
      <c r="M78" s="690"/>
      <c r="N78" s="690"/>
      <c r="O78" s="690"/>
    </row>
    <row r="79" spans="1:15" s="138" customFormat="1">
      <c r="A79" s="690"/>
      <c r="B79" s="690"/>
      <c r="C79" s="694"/>
      <c r="D79" s="694"/>
      <c r="E79" s="694"/>
      <c r="F79" s="694"/>
      <c r="G79" s="694"/>
      <c r="H79" s="690"/>
      <c r="I79" s="690"/>
      <c r="J79" s="694"/>
      <c r="K79" s="694"/>
      <c r="L79" s="690"/>
      <c r="M79" s="690"/>
      <c r="N79" s="690"/>
      <c r="O79" s="690"/>
    </row>
    <row r="80" spans="1:15" s="138" customFormat="1">
      <c r="A80" s="690"/>
      <c r="B80" s="690"/>
      <c r="C80" s="694"/>
      <c r="D80" s="694"/>
      <c r="E80" s="694"/>
      <c r="F80" s="694"/>
      <c r="G80" s="694"/>
      <c r="H80" s="690"/>
      <c r="I80" s="690"/>
      <c r="J80" s="694"/>
      <c r="K80" s="694"/>
      <c r="L80" s="690"/>
      <c r="M80" s="690"/>
      <c r="N80" s="690"/>
      <c r="O80" s="690"/>
    </row>
    <row r="81" spans="1:15" s="138" customFormat="1">
      <c r="A81" s="690"/>
      <c r="B81" s="690"/>
      <c r="C81" s="694"/>
      <c r="D81" s="694"/>
      <c r="E81" s="694"/>
      <c r="F81" s="694"/>
      <c r="G81" s="694"/>
      <c r="H81" s="690"/>
      <c r="I81" s="690"/>
      <c r="J81" s="694"/>
      <c r="K81" s="694"/>
      <c r="L81" s="690"/>
      <c r="M81" s="690"/>
      <c r="N81" s="690"/>
      <c r="O81" s="690"/>
    </row>
    <row r="82" spans="1:15" s="138" customFormat="1">
      <c r="A82" s="690"/>
      <c r="B82" s="690"/>
      <c r="C82" s="694"/>
      <c r="D82" s="694"/>
      <c r="E82" s="694"/>
      <c r="F82" s="694"/>
      <c r="G82" s="694"/>
      <c r="H82" s="690"/>
      <c r="I82" s="690"/>
      <c r="J82" s="694"/>
      <c r="K82" s="694"/>
      <c r="L82" s="690"/>
      <c r="M82" s="690"/>
      <c r="N82" s="690"/>
      <c r="O82" s="690"/>
    </row>
    <row r="83" spans="1:15" s="138" customFormat="1">
      <c r="A83" s="690"/>
      <c r="B83" s="690"/>
      <c r="C83" s="694"/>
      <c r="D83" s="694"/>
      <c r="E83" s="694"/>
      <c r="F83" s="694"/>
      <c r="G83" s="694"/>
      <c r="H83" s="690"/>
      <c r="I83" s="690"/>
      <c r="J83" s="694"/>
      <c r="K83" s="694"/>
      <c r="L83" s="690"/>
      <c r="M83" s="690"/>
      <c r="N83" s="690"/>
      <c r="O83" s="690"/>
    </row>
    <row r="84" spans="1:15" s="138" customFormat="1">
      <c r="A84" s="690"/>
      <c r="B84" s="690"/>
      <c r="C84" s="694"/>
      <c r="D84" s="694"/>
      <c r="E84" s="694"/>
      <c r="F84" s="694"/>
      <c r="G84" s="694"/>
      <c r="H84" s="690"/>
      <c r="I84" s="690"/>
      <c r="J84" s="694"/>
      <c r="K84" s="694"/>
      <c r="L84" s="690"/>
      <c r="M84" s="690"/>
      <c r="N84" s="690"/>
      <c r="O84" s="690"/>
    </row>
    <row r="85" spans="1:15" s="138" customFormat="1">
      <c r="A85" s="690"/>
      <c r="B85" s="690"/>
      <c r="C85" s="694"/>
      <c r="D85" s="694"/>
      <c r="E85" s="694"/>
      <c r="F85" s="694"/>
      <c r="G85" s="694"/>
      <c r="H85" s="690"/>
      <c r="I85" s="690"/>
      <c r="J85" s="694"/>
      <c r="K85" s="694"/>
      <c r="L85" s="690"/>
      <c r="M85" s="690"/>
      <c r="N85" s="690"/>
      <c r="O85" s="690"/>
    </row>
    <row r="86" spans="1:15" s="138" customFormat="1">
      <c r="A86" s="690"/>
      <c r="B86" s="690"/>
      <c r="C86" s="694"/>
      <c r="D86" s="694"/>
      <c r="E86" s="694"/>
      <c r="F86" s="694"/>
      <c r="G86" s="694"/>
      <c r="H86" s="690"/>
      <c r="I86" s="690"/>
      <c r="J86" s="694"/>
      <c r="K86" s="694"/>
      <c r="L86" s="690"/>
      <c r="M86" s="690"/>
      <c r="N86" s="690"/>
      <c r="O86" s="690"/>
    </row>
    <row r="87" spans="1:15" s="138" customFormat="1">
      <c r="A87" s="690"/>
      <c r="B87" s="690"/>
      <c r="C87" s="694"/>
      <c r="D87" s="694"/>
      <c r="E87" s="694"/>
      <c r="F87" s="694"/>
      <c r="G87" s="694"/>
      <c r="H87" s="690"/>
      <c r="I87" s="690"/>
      <c r="J87" s="694"/>
      <c r="K87" s="694"/>
      <c r="L87" s="690"/>
      <c r="M87" s="690"/>
      <c r="N87" s="690"/>
      <c r="O87" s="690"/>
    </row>
    <row r="88" spans="1:15" s="138" customFormat="1">
      <c r="A88" s="690"/>
      <c r="B88" s="690"/>
      <c r="C88" s="694"/>
      <c r="D88" s="694"/>
      <c r="E88" s="694"/>
      <c r="F88" s="694"/>
      <c r="G88" s="694"/>
      <c r="H88" s="690"/>
      <c r="I88" s="690"/>
      <c r="J88" s="694"/>
      <c r="K88" s="694"/>
      <c r="L88" s="690"/>
      <c r="M88" s="690"/>
      <c r="N88" s="690"/>
      <c r="O88" s="690"/>
    </row>
    <row r="89" spans="1:15" s="138" customFormat="1">
      <c r="A89" s="690"/>
      <c r="B89" s="690"/>
      <c r="C89" s="694"/>
      <c r="D89" s="694"/>
      <c r="E89" s="694"/>
      <c r="F89" s="694"/>
      <c r="G89" s="694"/>
      <c r="H89" s="690"/>
      <c r="I89" s="690"/>
      <c r="J89" s="694"/>
      <c r="K89" s="694"/>
      <c r="L89" s="690"/>
      <c r="M89" s="690"/>
      <c r="N89" s="690"/>
      <c r="O89" s="690"/>
    </row>
    <row r="90" spans="1:15" s="138" customFormat="1">
      <c r="A90" s="690"/>
      <c r="B90" s="690"/>
      <c r="C90" s="694"/>
      <c r="D90" s="694"/>
      <c r="E90" s="694"/>
      <c r="F90" s="694"/>
      <c r="G90" s="694"/>
      <c r="H90" s="690"/>
      <c r="I90" s="690"/>
      <c r="J90" s="694"/>
      <c r="K90" s="694"/>
      <c r="L90" s="690"/>
      <c r="M90" s="690"/>
      <c r="N90" s="690"/>
      <c r="O90" s="690"/>
    </row>
    <row r="91" spans="1:15" s="138" customFormat="1">
      <c r="A91" s="690"/>
      <c r="B91" s="690"/>
      <c r="C91" s="694"/>
      <c r="D91" s="694"/>
      <c r="E91" s="694"/>
      <c r="F91" s="694"/>
      <c r="G91" s="694"/>
      <c r="H91" s="690"/>
      <c r="I91" s="690"/>
      <c r="J91" s="694"/>
      <c r="K91" s="694"/>
      <c r="L91" s="690"/>
      <c r="M91" s="690"/>
      <c r="N91" s="690"/>
      <c r="O91" s="690"/>
    </row>
    <row r="92" spans="1:15" s="138" customFormat="1">
      <c r="A92" s="690"/>
      <c r="B92" s="690"/>
      <c r="C92" s="694"/>
      <c r="D92" s="694"/>
      <c r="E92" s="694"/>
      <c r="F92" s="694"/>
      <c r="G92" s="694"/>
      <c r="H92" s="690"/>
      <c r="I92" s="690"/>
      <c r="J92" s="694"/>
      <c r="K92" s="694"/>
      <c r="L92" s="690"/>
      <c r="M92" s="690"/>
      <c r="N92" s="690"/>
      <c r="O92" s="690"/>
    </row>
    <row r="93" spans="1:15" s="138" customFormat="1">
      <c r="A93" s="690"/>
      <c r="B93" s="690"/>
      <c r="C93" s="694"/>
      <c r="D93" s="694"/>
      <c r="E93" s="694"/>
      <c r="F93" s="694"/>
      <c r="G93" s="694"/>
      <c r="H93" s="690"/>
      <c r="I93" s="690"/>
      <c r="J93" s="694"/>
      <c r="K93" s="694"/>
      <c r="L93" s="690"/>
      <c r="M93" s="690"/>
      <c r="N93" s="690"/>
      <c r="O93" s="690"/>
    </row>
    <row r="94" spans="1:15" s="138" customFormat="1">
      <c r="A94" s="690"/>
      <c r="B94" s="690"/>
      <c r="C94" s="694"/>
      <c r="D94" s="694"/>
      <c r="E94" s="694"/>
      <c r="F94" s="694"/>
      <c r="G94" s="694"/>
      <c r="H94" s="690"/>
      <c r="I94" s="690"/>
      <c r="J94" s="694"/>
      <c r="K94" s="694"/>
      <c r="L94" s="690"/>
      <c r="M94" s="690"/>
      <c r="N94" s="690"/>
      <c r="O94" s="690"/>
    </row>
    <row r="95" spans="1:15" s="138" customFormat="1">
      <c r="A95" s="690"/>
      <c r="B95" s="690"/>
      <c r="C95" s="694"/>
      <c r="D95" s="694"/>
      <c r="E95" s="694"/>
      <c r="F95" s="694"/>
      <c r="G95" s="694"/>
      <c r="H95" s="690"/>
      <c r="I95" s="690"/>
      <c r="J95" s="694"/>
      <c r="K95" s="694"/>
      <c r="L95" s="690"/>
      <c r="M95" s="690"/>
      <c r="N95" s="690"/>
      <c r="O95" s="690"/>
    </row>
  </sheetData>
  <customSheetViews>
    <customSheetView guid="{83D69B98-1714-4D17-901F-87B47BE66947}" scale="70" showGridLines="0" printArea="1">
      <selection activeCell="C42" sqref="C42"/>
      <pageMargins left="0.75" right="0.5" top="0.5" bottom="0.5" header="0" footer="0.25"/>
      <printOptions horizontalCentered="1"/>
      <pageSetup scale="59" firstPageNumber="41" orientation="landscape" useFirstPageNumber="1" r:id="rId1"/>
      <headerFooter scaleWithDoc="0" alignWithMargins="0">
        <oddFooter>&amp;C&amp;8&amp;P</oddFooter>
      </headerFooter>
    </customSheetView>
    <customSheetView guid="{F9AE1502-86F7-4AAA-AE66-F6A75A634C1B}" scale="80" showGridLines="0" printArea="1" topLeftCell="A10">
      <selection activeCell="C42" sqref="C42"/>
      <pageMargins left="0.75" right="0.5" top="0.5" bottom="0.5" header="0" footer="0.25"/>
      <printOptions horizontalCentered="1"/>
      <pageSetup scale="60" firstPageNumber="41" orientation="landscape" useFirstPageNumber="1" r:id="rId2"/>
      <headerFooter scaleWithDoc="0" alignWithMargins="0">
        <oddFooter>&amp;C&amp;8&amp;P</oddFooter>
      </headerFooter>
    </customSheetView>
    <customSheetView guid="{C41E3923-0A88-49D0-AE43-0E74D386A056}" scale="80" showGridLines="0" printArea="1" topLeftCell="A10">
      <selection activeCell="C42" sqref="C42"/>
      <pageMargins left="0.75" right="0.5" top="0.5" bottom="0.5" header="0" footer="0.25"/>
      <printOptions horizontalCentered="1"/>
      <pageSetup scale="60" firstPageNumber="41" orientation="landscape" useFirstPageNumber="1" r:id="rId3"/>
      <headerFooter scaleWithDoc="0" alignWithMargins="0">
        <oddFooter>&amp;C&amp;8&amp;P</oddFooter>
      </headerFooter>
    </customSheetView>
    <customSheetView guid="{1DF171D7-3BFC-49F6-B708-0F91FCFAB6E2}" scale="80" showGridLines="0" printArea="1" topLeftCell="A10">
      <selection activeCell="C42" sqref="C42"/>
      <pageMargins left="0.75" right="0.5" top="0.5" bottom="0.5" header="0" footer="0.25"/>
      <printOptions horizontalCentered="1"/>
      <pageSetup scale="60" firstPageNumber="41" orientation="landscape" useFirstPageNumber="1" r:id="rId4"/>
      <headerFooter scaleWithDoc="0" alignWithMargins="0">
        <oddFooter>&amp;C&amp;8&amp;P</oddFooter>
      </headerFooter>
    </customSheetView>
    <customSheetView guid="{9F00D83C-7F4F-41B5-9976-8610D9EBC976}" scale="80" showGridLines="0" printArea="1" topLeftCell="A19">
      <selection activeCell="C42" sqref="C42"/>
      <pageMargins left="0.75" right="0.5" top="0.5" bottom="0.5" header="0" footer="0.25"/>
      <printOptions horizontalCentered="1"/>
      <pageSetup scale="60" firstPageNumber="41" orientation="landscape" useFirstPageNumber="1" r:id="rId5"/>
      <headerFooter scaleWithDoc="0" alignWithMargins="0">
        <oddFooter>&amp;C&amp;8&amp;P</oddFooter>
      </headerFooter>
    </customSheetView>
    <customSheetView guid="{D1467C25-646C-4F1A-9353-0E890E575522}" scale="80" showGridLines="0" printArea="1" topLeftCell="A16">
      <selection activeCell="C43" sqref="C43"/>
      <pageMargins left="0.75" right="0.5" top="0.5" bottom="0.5" header="0" footer="0.25"/>
      <printOptions horizontalCentered="1"/>
      <pageSetup scale="60" firstPageNumber="41" orientation="landscape" useFirstPageNumber="1" r:id="rId6"/>
      <headerFooter scaleWithDoc="0" alignWithMargins="0">
        <oddFooter>&amp;C&amp;8&amp;P</oddFooter>
      </headerFooter>
    </customSheetView>
    <customSheetView guid="{3A50DD26-AAF5-43D4-97DE-BAE3367A2F29}" scale="80" showGridLines="0" printArea="1">
      <selection activeCell="C42" sqref="C42"/>
      <pageMargins left="0.75" right="0.5" top="0.5" bottom="0.5" header="0" footer="0.25"/>
      <printOptions horizontalCentered="1"/>
      <pageSetup scale="60" firstPageNumber="41" orientation="landscape" useFirstPageNumber="1" r:id="rId7"/>
      <headerFooter scaleWithDoc="0" alignWithMargins="0">
        <oddFooter>&amp;C&amp;8&amp;P</oddFooter>
      </headerFooter>
    </customSheetView>
    <customSheetView guid="{C3636880-B45B-4897-94F2-F91976416934}" scale="80" showGridLines="0" printArea="1" topLeftCell="A10">
      <selection activeCell="C42" sqref="C42"/>
      <pageMargins left="0.75" right="0.5" top="0.5" bottom="0.5" header="0" footer="0.25"/>
      <printOptions horizontalCentered="1"/>
      <pageSetup scale="60" firstPageNumber="41" orientation="landscape" useFirstPageNumber="1" r:id="rId8"/>
      <headerFooter scaleWithDoc="0" alignWithMargins="0">
        <oddFooter>&amp;C&amp;8&amp;P</oddFooter>
      </headerFooter>
    </customSheetView>
  </customSheetViews>
  <printOptions horizontalCentered="1"/>
  <pageMargins left="0.75" right="0.5" top="0.5" bottom="0.5" header="0" footer="0.25"/>
  <pageSetup scale="60" firstPageNumber="41" orientation="landscape" useFirstPageNumber="1" r:id="rId9"/>
  <headerFooter scaleWithDoc="0" alignWithMargins="0">
    <oddFooter>&amp;C&amp;8&amp;P</oddFooter>
  </headerFooter>
  <customProperties>
    <customPr name="SheetOptions" r:id="rId10"/>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88671875" defaultRowHeight="12.75"/>
  <cols>
    <col min="1" max="1" width="56.109375" style="141" customWidth="1"/>
    <col min="2" max="2" width="6.88671875" style="141" customWidth="1"/>
    <col min="3" max="3" width="9.88671875" style="141" customWidth="1"/>
    <col min="4" max="4" width="20.88671875" style="141" customWidth="1"/>
    <col min="5" max="5" width="1.88671875" style="141" customWidth="1"/>
    <col min="6" max="6" width="20.88671875" style="141" customWidth="1"/>
    <col min="7" max="7" width="1.88671875" style="141" customWidth="1"/>
    <col min="8" max="8" width="20.88671875" style="141" customWidth="1"/>
    <col min="9" max="9" width="1.88671875" style="141" customWidth="1"/>
    <col min="10" max="10" width="20.88671875" style="141" customWidth="1"/>
    <col min="11" max="11" width="1.88671875" style="141" customWidth="1"/>
    <col min="12" max="12" width="20.88671875" style="141" customWidth="1"/>
    <col min="13" max="13" width="2.44140625" style="141" customWidth="1"/>
    <col min="14" max="14" width="9.109375" style="141" bestFit="1" customWidth="1"/>
    <col min="15" max="16384" width="8.88671875" style="141"/>
  </cols>
  <sheetData>
    <row r="1" spans="1:14" ht="15">
      <c r="A1" s="265" t="s">
        <v>97</v>
      </c>
    </row>
    <row r="2" spans="1:14" ht="18" customHeight="1"/>
    <row r="3" spans="1:14" ht="18">
      <c r="A3" s="142" t="s">
        <v>98</v>
      </c>
      <c r="B3" s="143"/>
      <c r="C3" s="143"/>
      <c r="D3" s="144"/>
      <c r="E3" s="144"/>
      <c r="F3" s="143"/>
      <c r="G3" s="143" t="s">
        <v>103</v>
      </c>
      <c r="H3" s="143"/>
      <c r="I3" s="143"/>
      <c r="J3" s="143"/>
      <c r="K3" s="143"/>
      <c r="L3" s="145" t="s">
        <v>765</v>
      </c>
      <c r="M3" s="144"/>
    </row>
    <row r="4" spans="1:14" ht="18">
      <c r="A4" s="142" t="s">
        <v>766</v>
      </c>
      <c r="B4" s="143"/>
      <c r="C4" s="143"/>
      <c r="D4" s="144"/>
      <c r="E4" s="144"/>
      <c r="F4" s="143"/>
      <c r="G4" s="143"/>
      <c r="H4" s="143"/>
      <c r="I4" s="143"/>
      <c r="J4" s="143"/>
      <c r="K4" s="143"/>
      <c r="L4" s="147"/>
      <c r="M4" s="144"/>
    </row>
    <row r="5" spans="1:14" ht="18">
      <c r="A5" s="148" t="s">
        <v>767</v>
      </c>
      <c r="B5" s="143"/>
      <c r="C5" s="143"/>
      <c r="D5" s="144"/>
      <c r="E5" s="144"/>
      <c r="F5" s="143"/>
      <c r="G5" s="143"/>
      <c r="H5" s="143"/>
      <c r="I5" s="143"/>
      <c r="J5" s="143"/>
      <c r="K5" s="143"/>
      <c r="L5" s="143"/>
      <c r="M5" s="144"/>
    </row>
    <row r="6" spans="1:14" ht="18">
      <c r="A6" s="148" t="s">
        <v>741</v>
      </c>
      <c r="B6" s="143"/>
      <c r="C6" s="143"/>
      <c r="D6" s="144"/>
      <c r="E6" s="144"/>
      <c r="F6" s="143"/>
      <c r="G6" s="143"/>
      <c r="H6" s="143"/>
      <c r="I6" s="143"/>
      <c r="J6" s="143"/>
      <c r="K6" s="143"/>
      <c r="L6" s="143"/>
      <c r="M6" s="144"/>
    </row>
    <row r="7" spans="1:14" ht="18">
      <c r="A7" s="148" t="str">
        <f>'Sch 2 '!A7</f>
        <v>FISCAL YEAR 2026-2027</v>
      </c>
      <c r="B7" s="143"/>
      <c r="C7" s="143"/>
      <c r="D7" s="144"/>
      <c r="E7" s="144"/>
      <c r="F7" s="143"/>
      <c r="G7" s="143"/>
      <c r="H7" s="143"/>
      <c r="I7" s="143"/>
      <c r="J7" s="143"/>
      <c r="K7" s="143"/>
      <c r="L7" s="143"/>
      <c r="M7" s="144"/>
    </row>
    <row r="8" spans="1:14" ht="18">
      <c r="A8" s="148" t="str">
        <f>'Sch 2 '!A8</f>
        <v>FOR THE MONTH OF JUNE 2026</v>
      </c>
      <c r="B8" s="143"/>
      <c r="C8" s="143"/>
      <c r="D8" s="144"/>
      <c r="E8" s="144"/>
      <c r="F8" s="143"/>
      <c r="G8" s="143"/>
      <c r="H8" s="143"/>
      <c r="I8" s="143"/>
      <c r="J8" s="143"/>
      <c r="K8" s="143"/>
      <c r="L8" s="143"/>
      <c r="M8" s="144"/>
    </row>
    <row r="9" spans="1:14" ht="18">
      <c r="A9" s="341" t="s">
        <v>102</v>
      </c>
      <c r="B9" s="143"/>
      <c r="C9" s="143"/>
      <c r="D9" s="144"/>
      <c r="E9" s="144"/>
      <c r="F9" s="143"/>
      <c r="G9" s="143"/>
      <c r="H9" s="143"/>
      <c r="I9" s="143"/>
      <c r="J9" s="143"/>
      <c r="K9" s="143"/>
      <c r="L9" s="143"/>
      <c r="M9" s="144"/>
    </row>
    <row r="10" spans="1:14" ht="18">
      <c r="A10" s="142"/>
      <c r="B10" s="142"/>
      <c r="C10" s="142"/>
      <c r="D10" s="158"/>
      <c r="E10" s="142"/>
      <c r="F10" s="142"/>
      <c r="G10" s="142"/>
      <c r="H10" s="142"/>
      <c r="I10" s="142"/>
      <c r="J10" s="158" t="s">
        <v>742</v>
      </c>
      <c r="K10" s="142"/>
      <c r="L10" s="158"/>
      <c r="M10" s="144"/>
    </row>
    <row r="11" spans="1:14" ht="18">
      <c r="A11" s="142"/>
      <c r="B11" s="142"/>
      <c r="C11" s="142"/>
      <c r="D11" s="158" t="s">
        <v>608</v>
      </c>
      <c r="E11" s="142"/>
      <c r="F11" s="142"/>
      <c r="G11" s="142"/>
      <c r="H11" s="142"/>
      <c r="I11" s="142"/>
      <c r="J11" s="158" t="s">
        <v>743</v>
      </c>
      <c r="K11" s="142"/>
      <c r="L11" s="158" t="s">
        <v>608</v>
      </c>
      <c r="M11" s="144"/>
    </row>
    <row r="12" spans="1:14" ht="18">
      <c r="A12" s="157" t="s">
        <v>744</v>
      </c>
      <c r="B12" s="142"/>
      <c r="C12" s="142"/>
      <c r="D12" s="371" t="str">
        <f>'Sch 1 '!C11</f>
        <v>JUNE 1, 2026</v>
      </c>
      <c r="E12" s="142"/>
      <c r="F12" s="158" t="s">
        <v>610</v>
      </c>
      <c r="G12" s="142"/>
      <c r="H12" s="158" t="s">
        <v>611</v>
      </c>
      <c r="I12" s="142"/>
      <c r="J12" s="158" t="s">
        <v>612</v>
      </c>
      <c r="K12" s="142"/>
      <c r="L12" s="371" t="str">
        <f>'Sch 1 '!K11</f>
        <v>JUNE 30, 2026</v>
      </c>
      <c r="M12" s="144"/>
    </row>
    <row r="13" spans="1:14" ht="9.75" customHeight="1">
      <c r="A13" s="142" t="s">
        <v>103</v>
      </c>
      <c r="B13" s="142"/>
      <c r="C13" s="142"/>
      <c r="D13" s="1082" t="s">
        <v>103</v>
      </c>
      <c r="E13" s="142"/>
      <c r="F13" s="1082" t="s">
        <v>103</v>
      </c>
      <c r="G13" s="142"/>
      <c r="H13" s="1082" t="s">
        <v>103</v>
      </c>
      <c r="I13" s="142"/>
      <c r="J13" s="1082" t="s">
        <v>103</v>
      </c>
      <c r="K13" s="142" t="s">
        <v>103</v>
      </c>
      <c r="L13" s="1082" t="s">
        <v>103</v>
      </c>
      <c r="M13" s="144"/>
    </row>
    <row r="14" spans="1:14" ht="18" customHeight="1">
      <c r="A14" s="149" t="s">
        <v>219</v>
      </c>
      <c r="B14" s="146"/>
      <c r="C14" s="146"/>
      <c r="D14" s="292"/>
      <c r="E14" s="292"/>
      <c r="F14" s="160"/>
      <c r="G14" s="138"/>
      <c r="H14" s="160"/>
      <c r="I14" s="292"/>
      <c r="J14" s="292"/>
      <c r="K14" s="292"/>
      <c r="L14" s="292"/>
      <c r="M14" s="150"/>
    </row>
    <row r="15" spans="1:14" ht="7.5" customHeight="1">
      <c r="A15" s="142"/>
      <c r="B15" s="146"/>
      <c r="C15" s="146"/>
      <c r="D15" s="292"/>
      <c r="E15" s="292"/>
      <c r="F15" s="292"/>
      <c r="G15" s="292"/>
      <c r="H15" s="292"/>
      <c r="I15" s="292"/>
      <c r="J15" s="292"/>
      <c r="K15" s="292"/>
      <c r="L15" s="292"/>
      <c r="M15" s="150"/>
    </row>
    <row r="16" spans="1:14" ht="15.75" customHeight="1">
      <c r="A16" s="146" t="s">
        <v>768</v>
      </c>
      <c r="B16" s="146"/>
      <c r="C16" s="146"/>
      <c r="D16" s="1691">
        <v>0.246</v>
      </c>
      <c r="E16" s="1646"/>
      <c r="F16" s="1691">
        <v>25.672999999999998</v>
      </c>
      <c r="G16" s="1646"/>
      <c r="H16" s="1691">
        <v>28.417000000000002</v>
      </c>
      <c r="I16" s="1646"/>
      <c r="J16" s="1691">
        <v>0</v>
      </c>
      <c r="K16" s="588"/>
      <c r="L16" s="589">
        <f>ROUND(SUM(D16)+SUM(F16)-SUM(H16)+SUM(J16),3)</f>
        <v>-2.4980000000000002</v>
      </c>
      <c r="M16" s="150"/>
      <c r="N16" s="1700"/>
    </row>
    <row r="17" spans="1:14" ht="15.75" customHeight="1">
      <c r="A17" s="146" t="s">
        <v>769</v>
      </c>
      <c r="B17" s="146"/>
      <c r="C17" s="146"/>
      <c r="D17" s="1931">
        <v>2236.0450000000001</v>
      </c>
      <c r="E17" s="588"/>
      <c r="F17" s="1692">
        <v>7.12</v>
      </c>
      <c r="G17" s="588"/>
      <c r="H17" s="1692">
        <v>0</v>
      </c>
      <c r="I17" s="588"/>
      <c r="J17" s="1692">
        <v>0</v>
      </c>
      <c r="K17" s="588"/>
      <c r="L17" s="1693">
        <f>ROUND(SUM(D17)+SUM(F17)-SUM(H17)+SUM(J17),3)</f>
        <v>2243.165</v>
      </c>
      <c r="M17" s="150"/>
      <c r="N17" s="1700"/>
    </row>
    <row r="18" spans="1:14" ht="20.100000000000001" customHeight="1">
      <c r="A18" s="142" t="s">
        <v>770</v>
      </c>
      <c r="B18" s="146"/>
      <c r="C18" s="146"/>
      <c r="D18" s="293">
        <f>ROUND(SUM(D16:D17),3)</f>
        <v>2236.2910000000002</v>
      </c>
      <c r="E18" s="294"/>
      <c r="F18" s="293">
        <f>ROUND(SUM(F16:F17),3)</f>
        <v>32.792999999999999</v>
      </c>
      <c r="G18" s="294"/>
      <c r="H18" s="293">
        <f>ROUND(SUM(H16:H17),3)</f>
        <v>28.417000000000002</v>
      </c>
      <c r="I18" s="294"/>
      <c r="J18" s="1694">
        <f>ROUND(SUM(J16:J17),3)</f>
        <v>0</v>
      </c>
      <c r="K18" s="294"/>
      <c r="L18" s="293">
        <f>ROUND(SUM(L16:L17),3)</f>
        <v>2240.6669999999999</v>
      </c>
      <c r="M18" s="151"/>
      <c r="N18" s="1700"/>
    </row>
    <row r="19" spans="1:14" ht="12" customHeight="1">
      <c r="A19" s="142"/>
      <c r="B19" s="146"/>
      <c r="C19" s="146"/>
      <c r="D19" s="1080"/>
      <c r="E19" s="140"/>
      <c r="F19" s="1080"/>
      <c r="G19" s="140"/>
      <c r="H19" s="1080"/>
      <c r="I19" s="140"/>
      <c r="J19" s="140"/>
      <c r="K19" s="140"/>
      <c r="L19" s="1080"/>
      <c r="M19" s="150"/>
      <c r="N19" s="1700"/>
    </row>
    <row r="20" spans="1:14" ht="18" customHeight="1">
      <c r="A20" s="149" t="s">
        <v>602</v>
      </c>
      <c r="B20" s="142"/>
      <c r="C20" s="142"/>
      <c r="D20" s="294"/>
      <c r="E20" s="294"/>
      <c r="F20" s="294"/>
      <c r="G20" s="294"/>
      <c r="H20" s="294"/>
      <c r="I20" s="294"/>
      <c r="J20" s="294"/>
      <c r="K20" s="294"/>
      <c r="L20" s="294"/>
      <c r="M20" s="144"/>
      <c r="N20" s="1700"/>
    </row>
    <row r="21" spans="1:14" ht="7.5" customHeight="1">
      <c r="A21" s="142"/>
      <c r="B21" s="142"/>
      <c r="C21" s="142"/>
      <c r="D21" s="294"/>
      <c r="E21" s="294"/>
      <c r="F21" s="294"/>
      <c r="G21" s="294"/>
      <c r="H21" s="294"/>
      <c r="I21" s="294"/>
      <c r="J21" s="294"/>
      <c r="K21" s="294"/>
      <c r="L21" s="140"/>
      <c r="M21" s="144"/>
      <c r="N21" s="1700"/>
    </row>
    <row r="22" spans="1:14" ht="17.850000000000001" customHeight="1">
      <c r="A22" s="295" t="s">
        <v>771</v>
      </c>
      <c r="B22" s="142"/>
      <c r="C22" s="142"/>
      <c r="D22" s="590">
        <v>27.44</v>
      </c>
      <c r="E22" s="588"/>
      <c r="F22" s="590">
        <v>8.7999999999999995E-2</v>
      </c>
      <c r="G22" s="588"/>
      <c r="H22" s="590">
        <v>0.109</v>
      </c>
      <c r="I22" s="588"/>
      <c r="J22" s="590">
        <v>0</v>
      </c>
      <c r="K22" s="588"/>
      <c r="L22" s="591">
        <f>ROUND(SUM(D22)+SUM(F22)-SUM(H22)+SUM(J22),3)</f>
        <v>27.419</v>
      </c>
      <c r="M22" s="144"/>
      <c r="N22" s="1700"/>
    </row>
    <row r="23" spans="1:14" ht="16.5" customHeight="1">
      <c r="A23" s="295" t="s">
        <v>772</v>
      </c>
      <c r="B23" s="142"/>
      <c r="C23" s="159"/>
      <c r="D23" s="590">
        <v>4.1779999999999999</v>
      </c>
      <c r="E23" s="588"/>
      <c r="F23" s="590">
        <v>1.3000000000000001E-2</v>
      </c>
      <c r="G23" s="588"/>
      <c r="H23" s="590">
        <v>1.2999999999999999E-2</v>
      </c>
      <c r="I23" s="588"/>
      <c r="J23" s="590">
        <v>0</v>
      </c>
      <c r="K23" s="588"/>
      <c r="L23" s="591">
        <f>ROUND(SUM(D23)+SUM(F23)-SUM(H23)+SUM(J23),3)</f>
        <v>4.1779999999999999</v>
      </c>
      <c r="M23" s="144"/>
      <c r="N23" s="1700"/>
    </row>
    <row r="24" spans="1:14" ht="15.75" customHeight="1">
      <c r="A24" s="295" t="s">
        <v>773</v>
      </c>
      <c r="B24" s="142"/>
      <c r="C24" s="142"/>
      <c r="D24" s="1692">
        <v>15.215999999999999</v>
      </c>
      <c r="E24" s="588"/>
      <c r="F24" s="1692">
        <v>0.11</v>
      </c>
      <c r="G24" s="588"/>
      <c r="H24" s="1692">
        <v>2.9000000000000001E-2</v>
      </c>
      <c r="I24" s="588"/>
      <c r="J24" s="1692">
        <v>0</v>
      </c>
      <c r="K24" s="588"/>
      <c r="L24" s="1693">
        <f>ROUND(SUM(D24)+SUM(F24)-SUM(H24)+SUM(J24),3)</f>
        <v>15.297000000000001</v>
      </c>
      <c r="M24" s="144"/>
      <c r="N24" s="1700"/>
    </row>
    <row r="25" spans="1:14" ht="20.100000000000001" customHeight="1">
      <c r="A25" s="148" t="s">
        <v>774</v>
      </c>
      <c r="B25" s="142"/>
      <c r="C25" s="159"/>
      <c r="D25" s="1695">
        <f>ROUND(SUM(D22:D24),3)</f>
        <v>46.834000000000003</v>
      </c>
      <c r="E25" s="294"/>
      <c r="F25" s="1695">
        <f>ROUND(SUM(F22:F24),3)</f>
        <v>0.21099999999999999</v>
      </c>
      <c r="G25" s="294"/>
      <c r="H25" s="1695">
        <f>ROUND(SUM(H22:H24),3)</f>
        <v>0.151</v>
      </c>
      <c r="I25" s="294"/>
      <c r="J25" s="1695">
        <f>ROUND(SUM(J22:J24),3)</f>
        <v>0</v>
      </c>
      <c r="K25" s="294"/>
      <c r="L25" s="1695">
        <f>ROUND(SUM(L22:L24),3)</f>
        <v>46.893999999999998</v>
      </c>
      <c r="M25" s="152"/>
      <c r="N25" s="1700"/>
    </row>
    <row r="26" spans="1:14" ht="12" customHeight="1">
      <c r="A26" s="142"/>
      <c r="B26" s="142"/>
      <c r="C26" s="142"/>
      <c r="D26" s="294"/>
      <c r="E26" s="294"/>
      <c r="F26" s="294"/>
      <c r="G26" s="294"/>
      <c r="H26" s="294"/>
      <c r="I26" s="294"/>
      <c r="J26" s="294"/>
      <c r="K26" s="294"/>
      <c r="L26" s="294"/>
      <c r="M26" s="144"/>
      <c r="N26" s="1700"/>
    </row>
    <row r="27" spans="1:14" ht="18">
      <c r="A27" s="149" t="s">
        <v>1490</v>
      </c>
      <c r="B27" s="142"/>
      <c r="C27" s="142"/>
      <c r="D27" s="294"/>
      <c r="E27" s="294"/>
      <c r="F27" s="294"/>
      <c r="G27" s="294"/>
      <c r="H27" s="294"/>
      <c r="I27" s="294"/>
      <c r="J27" s="294"/>
      <c r="K27" s="294"/>
      <c r="L27" s="294"/>
      <c r="M27" s="144"/>
      <c r="N27" s="1700"/>
    </row>
    <row r="28" spans="1:14" ht="7.5" customHeight="1">
      <c r="A28" s="146" t="s">
        <v>103</v>
      </c>
      <c r="B28" s="146"/>
      <c r="C28" s="146"/>
      <c r="D28" s="140"/>
      <c r="E28" s="140"/>
      <c r="F28" s="140"/>
      <c r="G28" s="140"/>
      <c r="H28" s="140"/>
      <c r="I28" s="140"/>
      <c r="J28" s="140"/>
      <c r="K28" s="140"/>
      <c r="L28" s="140"/>
      <c r="M28" s="144"/>
      <c r="N28" s="1700"/>
    </row>
    <row r="29" spans="1:14" ht="16.5" customHeight="1">
      <c r="A29" s="146" t="s">
        <v>775</v>
      </c>
      <c r="B29" s="146"/>
      <c r="C29" s="146" t="s">
        <v>103</v>
      </c>
      <c r="D29" s="590">
        <v>4.6459999999999999</v>
      </c>
      <c r="E29" s="588"/>
      <c r="F29" s="590">
        <v>0.751</v>
      </c>
      <c r="G29" s="588"/>
      <c r="H29" s="590">
        <v>0</v>
      </c>
      <c r="I29" s="588"/>
      <c r="J29" s="590">
        <v>0</v>
      </c>
      <c r="K29" s="588"/>
      <c r="L29" s="591">
        <f t="shared" ref="L29:L44" si="0">ROUND(SUM(D29)+SUM(F29)-SUM(H29)+SUM(J29),3)</f>
        <v>5.3970000000000002</v>
      </c>
      <c r="M29" s="150"/>
      <c r="N29" s="1700"/>
    </row>
    <row r="30" spans="1:14" ht="15.75" customHeight="1">
      <c r="A30" s="295" t="s">
        <v>776</v>
      </c>
      <c r="B30" s="146"/>
      <c r="C30" s="146"/>
      <c r="D30" s="590">
        <v>0.76200000000000001</v>
      </c>
      <c r="E30" s="588"/>
      <c r="F30" s="590">
        <v>2E-3</v>
      </c>
      <c r="G30" s="588"/>
      <c r="H30" s="590">
        <v>0</v>
      </c>
      <c r="I30" s="588"/>
      <c r="J30" s="590">
        <v>0</v>
      </c>
      <c r="K30" s="588"/>
      <c r="L30" s="591">
        <f t="shared" si="0"/>
        <v>0.76400000000000001</v>
      </c>
      <c r="M30" s="150"/>
      <c r="N30" s="1700"/>
    </row>
    <row r="31" spans="1:14" ht="16.5" customHeight="1">
      <c r="A31" s="146" t="s">
        <v>777</v>
      </c>
      <c r="B31" s="146"/>
      <c r="C31" s="146"/>
      <c r="D31" s="590">
        <v>1509.635</v>
      </c>
      <c r="E31" s="588"/>
      <c r="F31" s="590">
        <v>1486.277</v>
      </c>
      <c r="G31" s="588"/>
      <c r="H31" s="590">
        <v>1651.913</v>
      </c>
      <c r="I31" s="588"/>
      <c r="J31" s="590">
        <v>0</v>
      </c>
      <c r="K31" s="588"/>
      <c r="L31" s="591">
        <f t="shared" si="0"/>
        <v>1343.999</v>
      </c>
      <c r="M31" s="150"/>
      <c r="N31" s="1700"/>
    </row>
    <row r="32" spans="1:14" ht="16.5" customHeight="1">
      <c r="A32" s="146" t="s">
        <v>778</v>
      </c>
      <c r="B32" s="146"/>
      <c r="C32" s="146" t="s">
        <v>103</v>
      </c>
      <c r="D32" s="590">
        <v>15.473000000000001</v>
      </c>
      <c r="E32" s="588"/>
      <c r="F32" s="590">
        <v>127.541</v>
      </c>
      <c r="G32" s="588"/>
      <c r="H32" s="590">
        <v>127.59399999999999</v>
      </c>
      <c r="I32" s="588"/>
      <c r="J32" s="590">
        <v>0</v>
      </c>
      <c r="K32" s="588"/>
      <c r="L32" s="591">
        <f>ROUND(SUM(D32)+SUM(F32)-SUM(H32)+SUM(J32),3)</f>
        <v>15.42</v>
      </c>
      <c r="M32" s="150"/>
      <c r="N32" s="1700"/>
    </row>
    <row r="33" spans="1:14" ht="16.5" customHeight="1">
      <c r="A33" s="146" t="s">
        <v>779</v>
      </c>
      <c r="B33" s="146"/>
      <c r="C33" s="146"/>
      <c r="D33" s="590">
        <v>31.047999999999998</v>
      </c>
      <c r="E33" s="588"/>
      <c r="F33" s="590">
        <v>464.92399999999998</v>
      </c>
      <c r="G33" s="588"/>
      <c r="H33" s="590">
        <v>524.74900000000002</v>
      </c>
      <c r="I33" s="588"/>
      <c r="J33" s="590">
        <v>0</v>
      </c>
      <c r="K33" s="588"/>
      <c r="L33" s="591">
        <f t="shared" si="0"/>
        <v>-28.777000000000001</v>
      </c>
      <c r="M33" s="150"/>
      <c r="N33" s="1700"/>
    </row>
    <row r="34" spans="1:14" ht="16.5" customHeight="1">
      <c r="A34" s="146" t="s">
        <v>780</v>
      </c>
      <c r="B34" s="146"/>
      <c r="C34" s="146" t="s">
        <v>103</v>
      </c>
      <c r="D34" s="590">
        <v>34.314999999999998</v>
      </c>
      <c r="E34" s="588"/>
      <c r="F34" s="590">
        <v>6.202</v>
      </c>
      <c r="G34" s="588"/>
      <c r="H34" s="590">
        <v>7.8129999999999997</v>
      </c>
      <c r="I34" s="588"/>
      <c r="J34" s="590">
        <v>0</v>
      </c>
      <c r="K34" s="588"/>
      <c r="L34" s="591">
        <f t="shared" si="0"/>
        <v>32.704000000000001</v>
      </c>
      <c r="M34" s="150"/>
      <c r="N34" s="1700"/>
    </row>
    <row r="35" spans="1:14" ht="15.75" customHeight="1">
      <c r="A35" s="146" t="s">
        <v>781</v>
      </c>
      <c r="B35" s="146"/>
      <c r="C35" s="146"/>
      <c r="D35" s="590">
        <v>1.56</v>
      </c>
      <c r="E35" s="588"/>
      <c r="F35" s="590">
        <v>0.80700000000000005</v>
      </c>
      <c r="G35" s="588"/>
      <c r="H35" s="590">
        <v>1.1489999999999998</v>
      </c>
      <c r="I35" s="588"/>
      <c r="J35" s="590">
        <v>0</v>
      </c>
      <c r="K35" s="588"/>
      <c r="L35" s="591">
        <f t="shared" si="0"/>
        <v>1.218</v>
      </c>
      <c r="M35" s="150"/>
      <c r="N35" s="1700"/>
    </row>
    <row r="36" spans="1:14" ht="15.75" customHeight="1">
      <c r="A36" s="146" t="s">
        <v>782</v>
      </c>
      <c r="B36" s="146"/>
      <c r="C36" s="146"/>
      <c r="D36" s="590">
        <v>636.88400000000001</v>
      </c>
      <c r="E36" s="588"/>
      <c r="F36" s="590">
        <v>94.180999999999997</v>
      </c>
      <c r="G36" s="588"/>
      <c r="H36" s="590">
        <v>94.197000000000003</v>
      </c>
      <c r="I36" s="588"/>
      <c r="J36" s="590">
        <v>0</v>
      </c>
      <c r="K36" s="588"/>
      <c r="L36" s="591">
        <f t="shared" si="0"/>
        <v>636.86800000000005</v>
      </c>
      <c r="M36" s="154"/>
      <c r="N36" s="1700"/>
    </row>
    <row r="37" spans="1:14" ht="16.5" customHeight="1">
      <c r="A37" s="146" t="s">
        <v>783</v>
      </c>
      <c r="B37" s="146"/>
      <c r="C37" s="146"/>
      <c r="D37" s="590">
        <v>2.1999999999999999E-2</v>
      </c>
      <c r="E37" s="588"/>
      <c r="F37" s="590">
        <v>0</v>
      </c>
      <c r="G37" s="588"/>
      <c r="H37" s="590">
        <v>0</v>
      </c>
      <c r="I37" s="588"/>
      <c r="J37" s="590">
        <v>0</v>
      </c>
      <c r="K37" s="588"/>
      <c r="L37" s="591">
        <f t="shared" si="0"/>
        <v>2.1999999999999999E-2</v>
      </c>
      <c r="M37" s="150"/>
      <c r="N37" s="1700"/>
    </row>
    <row r="38" spans="1:14" ht="16.5" customHeight="1">
      <c r="A38" s="146" t="s">
        <v>784</v>
      </c>
      <c r="B38" s="146"/>
      <c r="C38" s="146"/>
      <c r="D38" s="590">
        <v>914.745</v>
      </c>
      <c r="E38" s="588"/>
      <c r="F38" s="590">
        <v>1045.703</v>
      </c>
      <c r="G38" s="588"/>
      <c r="H38" s="590">
        <v>1070.4829999999999</v>
      </c>
      <c r="I38" s="588"/>
      <c r="J38" s="590">
        <v>0</v>
      </c>
      <c r="K38" s="588"/>
      <c r="L38" s="591">
        <f t="shared" si="0"/>
        <v>889.96500000000003</v>
      </c>
      <c r="M38" s="150"/>
      <c r="N38" s="1700"/>
    </row>
    <row r="39" spans="1:14" ht="16.5" customHeight="1">
      <c r="A39" s="146" t="s">
        <v>785</v>
      </c>
      <c r="B39" s="146"/>
      <c r="C39" s="146"/>
      <c r="D39" s="590">
        <v>34.155999999999999</v>
      </c>
      <c r="E39" s="588"/>
      <c r="F39" s="590">
        <v>0.98299999999999998</v>
      </c>
      <c r="G39" s="588"/>
      <c r="H39" s="590">
        <v>0.97599999999999998</v>
      </c>
      <c r="I39" s="588"/>
      <c r="J39" s="590">
        <v>0</v>
      </c>
      <c r="K39" s="588"/>
      <c r="L39" s="591">
        <f t="shared" si="0"/>
        <v>34.162999999999997</v>
      </c>
      <c r="M39" s="150"/>
      <c r="N39" s="1700"/>
    </row>
    <row r="40" spans="1:14" ht="16.5" customHeight="1">
      <c r="A40" s="146" t="s">
        <v>786</v>
      </c>
      <c r="B40" s="146"/>
      <c r="C40" s="146"/>
      <c r="D40" s="590">
        <v>1091.0709999999999</v>
      </c>
      <c r="E40" s="588"/>
      <c r="F40" s="590">
        <v>9577.9249999999993</v>
      </c>
      <c r="G40" s="588"/>
      <c r="H40" s="590">
        <v>10425.768</v>
      </c>
      <c r="I40" s="588"/>
      <c r="J40" s="590">
        <v>0</v>
      </c>
      <c r="K40" s="588"/>
      <c r="L40" s="591">
        <f t="shared" si="0"/>
        <v>243.22800000000001</v>
      </c>
      <c r="M40" s="150"/>
      <c r="N40" s="1700"/>
    </row>
    <row r="41" spans="1:14" ht="15.75" customHeight="1">
      <c r="A41" s="146" t="s">
        <v>787</v>
      </c>
      <c r="B41" s="146"/>
      <c r="C41" s="146"/>
      <c r="D41" s="590">
        <v>0</v>
      </c>
      <c r="E41" s="588"/>
      <c r="F41" s="590">
        <v>0</v>
      </c>
      <c r="G41" s="588"/>
      <c r="H41" s="590">
        <v>0</v>
      </c>
      <c r="I41" s="588"/>
      <c r="J41" s="590">
        <v>0</v>
      </c>
      <c r="K41" s="588"/>
      <c r="L41" s="591">
        <f t="shared" si="0"/>
        <v>0</v>
      </c>
      <c r="M41" s="150"/>
      <c r="N41" s="1700"/>
    </row>
    <row r="42" spans="1:14" ht="15.75" customHeight="1">
      <c r="A42" s="146" t="s">
        <v>788</v>
      </c>
      <c r="B42" s="146"/>
      <c r="C42" s="146"/>
      <c r="D42" s="590">
        <v>89.718000000000004</v>
      </c>
      <c r="E42" s="588"/>
      <c r="F42" s="590">
        <v>5.38</v>
      </c>
      <c r="G42" s="588"/>
      <c r="H42" s="590">
        <v>0</v>
      </c>
      <c r="I42" s="588"/>
      <c r="J42" s="590">
        <v>0</v>
      </c>
      <c r="K42" s="588"/>
      <c r="L42" s="591">
        <f t="shared" si="0"/>
        <v>95.097999999999999</v>
      </c>
      <c r="M42" s="150"/>
      <c r="N42" s="1700"/>
    </row>
    <row r="43" spans="1:14" ht="15.75" customHeight="1">
      <c r="A43" s="146" t="s">
        <v>789</v>
      </c>
      <c r="B43" s="146"/>
      <c r="C43" s="146"/>
      <c r="D43" s="590">
        <v>-1.58</v>
      </c>
      <c r="E43" s="588"/>
      <c r="F43" s="590">
        <v>15.512</v>
      </c>
      <c r="G43" s="588"/>
      <c r="H43" s="590">
        <v>16.667999999999999</v>
      </c>
      <c r="I43" s="588"/>
      <c r="J43" s="590">
        <v>0</v>
      </c>
      <c r="K43" s="588"/>
      <c r="L43" s="591">
        <f t="shared" si="0"/>
        <v>-2.7360000000000002</v>
      </c>
      <c r="M43" s="150"/>
      <c r="N43" s="1700"/>
    </row>
    <row r="44" spans="1:14" ht="18" customHeight="1">
      <c r="A44" s="146" t="s">
        <v>790</v>
      </c>
      <c r="B44" s="146"/>
      <c r="C44" s="146"/>
      <c r="D44" s="590">
        <v>0</v>
      </c>
      <c r="E44" s="588"/>
      <c r="F44" s="590">
        <v>0</v>
      </c>
      <c r="G44" s="588"/>
      <c r="H44" s="590">
        <v>0</v>
      </c>
      <c r="I44" s="588"/>
      <c r="J44" s="590">
        <v>0</v>
      </c>
      <c r="K44" s="588"/>
      <c r="L44" s="591">
        <f t="shared" si="0"/>
        <v>0</v>
      </c>
      <c r="M44" s="150"/>
      <c r="N44" s="1700"/>
    </row>
    <row r="45" spans="1:14" ht="20.100000000000001" customHeight="1">
      <c r="A45" s="142" t="s">
        <v>1492</v>
      </c>
      <c r="B45" s="146"/>
      <c r="C45" s="146"/>
      <c r="D45" s="1696">
        <f>ROUND(SUM(D29:D44),3)</f>
        <v>4362.4549999999999</v>
      </c>
      <c r="E45" s="293"/>
      <c r="F45" s="1696">
        <f>ROUND(SUM(F29:F44),3)</f>
        <v>12826.188</v>
      </c>
      <c r="G45" s="293"/>
      <c r="H45" s="1696">
        <f>ROUND(SUM(H29:H44),3)</f>
        <v>13921.31</v>
      </c>
      <c r="I45" s="293"/>
      <c r="J45" s="1696">
        <f>ROUND(SUM(J29:J44),3)</f>
        <v>0</v>
      </c>
      <c r="K45" s="293"/>
      <c r="L45" s="1696">
        <f>ROUND(SUM(L29:L44),3)</f>
        <v>3267.3330000000001</v>
      </c>
      <c r="M45" s="151"/>
      <c r="N45" s="1700"/>
    </row>
    <row r="46" spans="1:14" ht="12" customHeight="1">
      <c r="A46" s="142"/>
      <c r="B46" s="146"/>
      <c r="C46" s="146"/>
      <c r="D46" s="1080" t="s">
        <v>103</v>
      </c>
      <c r="E46" s="140"/>
      <c r="F46" s="1080" t="s">
        <v>103</v>
      </c>
      <c r="G46" s="140"/>
      <c r="H46" s="1080" t="s">
        <v>103</v>
      </c>
      <c r="I46" s="140"/>
      <c r="J46" s="140" t="s">
        <v>103</v>
      </c>
      <c r="K46" s="140"/>
      <c r="L46" s="1080" t="s">
        <v>103</v>
      </c>
      <c r="M46" s="150"/>
      <c r="N46" s="1700"/>
    </row>
    <row r="47" spans="1:14" ht="12" customHeight="1">
      <c r="A47" s="142"/>
      <c r="B47" s="146"/>
      <c r="C47" s="146"/>
      <c r="D47" s="296"/>
      <c r="E47" s="296"/>
      <c r="F47" s="296"/>
      <c r="G47" s="296"/>
      <c r="H47" s="296"/>
      <c r="I47" s="296"/>
      <c r="J47" s="296"/>
      <c r="K47" s="296"/>
      <c r="L47" s="296"/>
      <c r="M47" s="150"/>
      <c r="N47" s="1700"/>
    </row>
    <row r="48" spans="1:14" ht="18.75" thickBot="1">
      <c r="A48" s="142" t="s">
        <v>791</v>
      </c>
      <c r="B48" s="146"/>
      <c r="C48" s="159"/>
      <c r="D48" s="1697">
        <f>ROUND(D18+D25+D45,3)</f>
        <v>6645.58</v>
      </c>
      <c r="E48" s="297"/>
      <c r="F48" s="1697">
        <f>ROUND(F18+F25+F45,3)</f>
        <v>12859.191999999999</v>
      </c>
      <c r="G48" s="297"/>
      <c r="H48" s="1697">
        <f>ROUND(H18+H25+H45,3)</f>
        <v>13949.878000000001</v>
      </c>
      <c r="I48" s="1698"/>
      <c r="J48" s="1697">
        <f>ROUND(J18+J25+J45,3)</f>
        <v>0</v>
      </c>
      <c r="K48" s="297"/>
      <c r="L48" s="1697">
        <f>ROUND(L18+L25+L45,3)</f>
        <v>5554.8940000000002</v>
      </c>
      <c r="M48" s="151"/>
      <c r="N48" s="1700"/>
    </row>
    <row r="49" spans="1:13" ht="12" customHeight="1" thickTop="1">
      <c r="A49" s="146"/>
      <c r="B49" s="146"/>
      <c r="C49" s="146"/>
      <c r="D49" s="1699" t="s">
        <v>103</v>
      </c>
      <c r="E49" s="292"/>
      <c r="F49" s="1699" t="s">
        <v>103</v>
      </c>
      <c r="G49" s="292"/>
      <c r="H49" s="1699" t="s">
        <v>103</v>
      </c>
      <c r="I49" s="292"/>
      <c r="J49" s="292" t="s">
        <v>103</v>
      </c>
      <c r="K49" s="292"/>
      <c r="L49" s="1699" t="s">
        <v>103</v>
      </c>
      <c r="M49" s="150"/>
    </row>
    <row r="50" spans="1:13" ht="15.75" customHeight="1">
      <c r="A50" s="298"/>
      <c r="B50" s="146"/>
      <c r="C50" s="146"/>
      <c r="D50" s="146"/>
      <c r="E50" s="146"/>
      <c r="F50" s="146"/>
      <c r="G50" s="146"/>
      <c r="H50" s="146"/>
      <c r="I50" s="146"/>
      <c r="J50" s="146" t="s">
        <v>103</v>
      </c>
      <c r="K50" s="146"/>
      <c r="L50" s="146"/>
      <c r="M50" s="146"/>
    </row>
    <row r="51" spans="1:13" ht="18">
      <c r="A51" s="146"/>
      <c r="B51" s="146"/>
      <c r="C51" s="146"/>
      <c r="D51" s="153"/>
      <c r="E51" s="146"/>
      <c r="F51" s="590" t="s">
        <v>103</v>
      </c>
      <c r="G51" s="146"/>
      <c r="H51" s="146"/>
      <c r="I51" s="146"/>
      <c r="J51" s="146" t="s">
        <v>103</v>
      </c>
      <c r="K51" s="146"/>
      <c r="L51" s="155"/>
      <c r="M51" s="146"/>
    </row>
    <row r="52" spans="1:13" ht="18">
      <c r="A52" s="153"/>
      <c r="B52" s="146"/>
      <c r="C52" s="146"/>
      <c r="D52" s="146"/>
      <c r="E52" s="146"/>
      <c r="F52" s="146"/>
      <c r="G52" s="146"/>
      <c r="H52" s="146"/>
      <c r="I52" s="146"/>
      <c r="J52" s="146" t="s">
        <v>103</v>
      </c>
      <c r="K52" s="146"/>
      <c r="L52" s="146"/>
      <c r="M52" s="146"/>
    </row>
    <row r="53" spans="1:13" ht="18">
      <c r="A53" s="153"/>
      <c r="B53" s="146"/>
      <c r="C53" s="146"/>
      <c r="D53" s="146"/>
      <c r="E53" s="146"/>
      <c r="F53" s="146"/>
      <c r="G53" s="146"/>
      <c r="H53" s="146"/>
      <c r="I53" s="146"/>
      <c r="J53" s="146"/>
      <c r="K53" s="146"/>
      <c r="L53" s="146"/>
      <c r="M53" s="146"/>
    </row>
    <row r="54" spans="1:13" ht="18">
      <c r="A54" s="153"/>
      <c r="B54" s="146"/>
      <c r="C54" s="146"/>
      <c r="D54" s="146"/>
      <c r="E54" s="146"/>
      <c r="F54" s="146"/>
      <c r="G54" s="146"/>
      <c r="H54" s="146"/>
      <c r="I54" s="146"/>
      <c r="J54" s="146"/>
      <c r="K54" s="146"/>
      <c r="L54" s="146"/>
      <c r="M54" s="146"/>
    </row>
    <row r="55" spans="1:13" ht="18">
      <c r="A55" s="153"/>
      <c r="B55" s="146"/>
      <c r="C55" s="146"/>
      <c r="D55" s="146"/>
      <c r="E55" s="146"/>
      <c r="F55" s="146"/>
      <c r="G55" s="146"/>
      <c r="H55" s="146"/>
      <c r="I55" s="146"/>
      <c r="J55" s="146"/>
      <c r="K55" s="146"/>
      <c r="L55" s="146"/>
      <c r="M55" s="146"/>
    </row>
    <row r="56" spans="1:13" ht="18">
      <c r="A56" s="153"/>
      <c r="B56" s="146"/>
      <c r="C56" s="146"/>
      <c r="D56" s="146"/>
      <c r="E56" s="146"/>
      <c r="F56" s="146"/>
      <c r="G56" s="146"/>
      <c r="H56" s="146"/>
      <c r="I56" s="146"/>
      <c r="J56" s="146"/>
      <c r="K56" s="146"/>
      <c r="L56" s="146"/>
      <c r="M56" s="146"/>
    </row>
    <row r="57" spans="1:13" ht="18">
      <c r="A57" s="146"/>
      <c r="B57" s="146"/>
      <c r="C57" s="146"/>
      <c r="D57" s="146"/>
      <c r="E57" s="146"/>
      <c r="F57" s="146"/>
      <c r="G57" s="146"/>
      <c r="H57" s="146"/>
      <c r="I57" s="146"/>
      <c r="J57" s="146"/>
      <c r="K57" s="146"/>
      <c r="L57" s="146"/>
      <c r="M57" s="146"/>
    </row>
    <row r="58" spans="1:13" ht="18">
      <c r="A58" s="146"/>
      <c r="B58" s="146"/>
      <c r="C58" s="146"/>
      <c r="D58" s="146"/>
      <c r="E58" s="146"/>
      <c r="F58" s="146"/>
      <c r="G58" s="146"/>
      <c r="H58" s="146"/>
      <c r="I58" s="146"/>
      <c r="J58" s="146"/>
      <c r="K58" s="146"/>
      <c r="L58" s="146"/>
      <c r="M58" s="146"/>
    </row>
    <row r="59" spans="1:13" ht="18">
      <c r="A59" s="146"/>
      <c r="B59" s="146"/>
      <c r="C59" s="146"/>
      <c r="D59" s="146"/>
      <c r="E59" s="146"/>
      <c r="F59" s="146"/>
      <c r="G59" s="146"/>
      <c r="H59" s="146"/>
      <c r="I59" s="146"/>
      <c r="J59" s="146"/>
      <c r="K59" s="146"/>
      <c r="L59" s="146"/>
      <c r="M59" s="146"/>
    </row>
    <row r="60" spans="1:13" ht="18">
      <c r="A60" s="146"/>
      <c r="B60" s="146"/>
      <c r="C60" s="146"/>
      <c r="D60" s="146"/>
      <c r="E60" s="146"/>
      <c r="F60" s="146"/>
      <c r="G60" s="146"/>
      <c r="H60" s="146"/>
      <c r="I60" s="146"/>
      <c r="J60" s="146"/>
      <c r="K60" s="146"/>
      <c r="L60" s="146"/>
      <c r="M60" s="146"/>
    </row>
    <row r="61" spans="1:13" ht="18">
      <c r="A61" s="146"/>
      <c r="B61" s="146"/>
      <c r="C61" s="146"/>
      <c r="D61" s="156"/>
      <c r="E61" s="146"/>
      <c r="F61" s="146"/>
      <c r="G61" s="146"/>
      <c r="H61" s="146"/>
      <c r="I61" s="146"/>
      <c r="J61" s="156"/>
      <c r="K61" s="146"/>
      <c r="L61" s="156"/>
      <c r="M61" s="146"/>
    </row>
    <row r="62" spans="1:13" ht="18">
      <c r="A62" s="146"/>
      <c r="B62" s="146"/>
      <c r="C62" s="146"/>
      <c r="D62" s="156"/>
      <c r="E62" s="146"/>
      <c r="F62" s="146"/>
      <c r="G62" s="146"/>
      <c r="H62" s="146"/>
      <c r="I62" s="146"/>
      <c r="J62" s="156"/>
      <c r="K62" s="146"/>
      <c r="L62" s="156"/>
      <c r="M62" s="146"/>
    </row>
    <row r="63" spans="1:13" ht="18">
      <c r="A63" s="157"/>
      <c r="B63" s="146"/>
      <c r="C63" s="146"/>
      <c r="D63" s="158"/>
      <c r="E63" s="146"/>
      <c r="F63" s="158"/>
      <c r="G63" s="146"/>
      <c r="H63" s="158"/>
      <c r="I63" s="146"/>
      <c r="J63" s="158"/>
      <c r="K63" s="146"/>
      <c r="L63" s="158"/>
      <c r="M63" s="146"/>
    </row>
    <row r="64" spans="1:13" ht="18">
      <c r="A64" s="146"/>
      <c r="B64" s="146"/>
      <c r="C64" s="146"/>
      <c r="D64" s="146"/>
      <c r="E64" s="146"/>
      <c r="F64" s="146"/>
      <c r="G64" s="146"/>
      <c r="H64" s="146"/>
      <c r="I64" s="146"/>
      <c r="J64" s="146"/>
      <c r="K64" s="146"/>
      <c r="L64" s="146"/>
      <c r="M64" s="146"/>
    </row>
    <row r="65" spans="1:13" ht="18">
      <c r="A65" s="149"/>
      <c r="B65" s="146"/>
      <c r="C65" s="146"/>
      <c r="D65" s="146"/>
      <c r="E65" s="146"/>
      <c r="F65" s="146"/>
      <c r="G65" s="146"/>
      <c r="H65" s="146"/>
      <c r="I65" s="146"/>
      <c r="J65" s="146"/>
      <c r="K65" s="146"/>
      <c r="L65" s="146"/>
      <c r="M65" s="146"/>
    </row>
    <row r="66" spans="1:13" ht="18">
      <c r="A66" s="146"/>
      <c r="B66" s="146"/>
      <c r="C66" s="146"/>
      <c r="D66" s="146"/>
      <c r="E66" s="146"/>
      <c r="F66" s="146"/>
      <c r="G66" s="146"/>
      <c r="H66" s="146"/>
      <c r="I66" s="146"/>
      <c r="J66" s="146"/>
      <c r="K66" s="146"/>
      <c r="L66" s="146"/>
      <c r="M66" s="146"/>
    </row>
    <row r="67" spans="1:13" ht="20.100000000000001" customHeight="1">
      <c r="A67" s="146"/>
      <c r="B67" s="146"/>
      <c r="C67" s="159"/>
      <c r="D67" s="160"/>
      <c r="E67" s="159"/>
      <c r="F67" s="1151"/>
      <c r="G67" s="159"/>
      <c r="H67" s="1152"/>
      <c r="I67" s="159"/>
      <c r="J67" s="161"/>
      <c r="K67" s="159"/>
      <c r="L67" s="160"/>
      <c r="M67" s="146"/>
    </row>
    <row r="68" spans="1:13" ht="20.100000000000001" customHeight="1">
      <c r="A68" s="146"/>
      <c r="B68" s="146"/>
      <c r="C68" s="146"/>
      <c r="D68" s="160"/>
      <c r="E68" s="146"/>
      <c r="F68" s="146"/>
      <c r="G68" s="146"/>
      <c r="H68" s="1152"/>
      <c r="I68" s="146"/>
      <c r="J68" s="161"/>
      <c r="K68" s="146"/>
      <c r="L68" s="160"/>
      <c r="M68" s="146"/>
    </row>
    <row r="69" spans="1:13" ht="20.100000000000001" customHeight="1">
      <c r="A69" s="146"/>
      <c r="B69" s="146"/>
      <c r="C69" s="146"/>
      <c r="D69" s="160"/>
      <c r="E69" s="146"/>
      <c r="F69" s="146"/>
      <c r="G69" s="146"/>
      <c r="H69" s="1153"/>
      <c r="I69" s="146"/>
      <c r="J69" s="161"/>
      <c r="K69" s="146"/>
      <c r="L69" s="160"/>
      <c r="M69" s="146"/>
    </row>
    <row r="70" spans="1:13" ht="20.100000000000001" customHeight="1">
      <c r="A70" s="146"/>
      <c r="B70" s="146"/>
      <c r="C70" s="146"/>
      <c r="D70" s="160"/>
      <c r="E70" s="146"/>
      <c r="F70" s="146"/>
      <c r="G70" s="146"/>
      <c r="H70" s="1152"/>
      <c r="I70" s="146"/>
      <c r="J70" s="161"/>
      <c r="K70" s="146"/>
      <c r="L70" s="160"/>
      <c r="M70" s="146"/>
    </row>
    <row r="71" spans="1:13" ht="20.100000000000001" customHeight="1">
      <c r="A71" s="146"/>
      <c r="B71" s="146"/>
      <c r="C71" s="146"/>
      <c r="D71" s="160"/>
      <c r="E71" s="146"/>
      <c r="F71" s="146"/>
      <c r="G71" s="146"/>
      <c r="H71" s="1152"/>
      <c r="I71" s="146"/>
      <c r="J71" s="161"/>
      <c r="K71" s="146"/>
      <c r="L71" s="160"/>
      <c r="M71" s="146"/>
    </row>
    <row r="72" spans="1:13" ht="20.100000000000001" customHeight="1">
      <c r="A72" s="146"/>
      <c r="B72" s="146"/>
      <c r="C72" s="146"/>
      <c r="D72" s="160"/>
      <c r="E72" s="146"/>
      <c r="F72" s="146"/>
      <c r="G72" s="146"/>
      <c r="H72" s="1154"/>
      <c r="I72" s="146"/>
      <c r="J72" s="161"/>
      <c r="K72" s="146"/>
      <c r="L72" s="160"/>
      <c r="M72" s="146"/>
    </row>
    <row r="73" spans="1:13" ht="18">
      <c r="A73" s="299"/>
      <c r="B73" s="146"/>
      <c r="C73" s="146"/>
      <c r="D73" s="146"/>
      <c r="E73" s="146"/>
      <c r="F73" s="146"/>
      <c r="G73" s="146"/>
      <c r="H73" s="146"/>
      <c r="I73" s="146"/>
      <c r="J73" s="146"/>
      <c r="K73" s="146"/>
      <c r="L73" s="146"/>
      <c r="M73" s="146"/>
    </row>
    <row r="74" spans="1:13" ht="18">
      <c r="A74" s="162"/>
      <c r="B74" s="146"/>
      <c r="C74" s="146"/>
      <c r="D74" s="146"/>
      <c r="E74" s="146"/>
      <c r="F74" s="146"/>
      <c r="G74" s="146"/>
      <c r="H74" s="146"/>
      <c r="I74" s="146"/>
      <c r="J74" s="146"/>
      <c r="K74" s="146"/>
      <c r="L74" s="146"/>
      <c r="M74" s="146"/>
    </row>
    <row r="75" spans="1:13" ht="18">
      <c r="A75" s="146"/>
      <c r="B75" s="146"/>
      <c r="C75" s="146"/>
      <c r="D75" s="146"/>
      <c r="E75" s="146"/>
      <c r="F75" s="146"/>
      <c r="G75" s="146"/>
      <c r="H75" s="146"/>
      <c r="I75" s="146"/>
      <c r="J75" s="146"/>
      <c r="K75" s="146"/>
      <c r="L75" s="146"/>
      <c r="M75" s="146"/>
    </row>
    <row r="76" spans="1:13" ht="18">
      <c r="A76" s="146"/>
      <c r="B76" s="146"/>
      <c r="C76" s="146"/>
      <c r="D76" s="146"/>
      <c r="E76" s="146"/>
      <c r="F76" s="146"/>
      <c r="G76" s="146"/>
      <c r="H76" s="146"/>
      <c r="I76" s="146"/>
      <c r="J76" s="146"/>
      <c r="K76" s="146"/>
      <c r="L76" s="146"/>
      <c r="M76" s="146"/>
    </row>
    <row r="77" spans="1:13" ht="18">
      <c r="A77" s="146"/>
      <c r="B77" s="146"/>
      <c r="C77" s="146"/>
      <c r="D77" s="146"/>
      <c r="E77" s="146"/>
      <c r="F77" s="146"/>
      <c r="G77" s="146"/>
      <c r="H77" s="146"/>
      <c r="I77" s="146"/>
      <c r="J77" s="146"/>
      <c r="K77" s="146"/>
      <c r="L77" s="146"/>
      <c r="M77" s="146"/>
    </row>
    <row r="78" spans="1:13" ht="18">
      <c r="A78" s="146"/>
      <c r="B78" s="146"/>
      <c r="C78" s="146"/>
      <c r="D78" s="146"/>
      <c r="E78" s="146"/>
      <c r="F78" s="146"/>
      <c r="G78" s="146"/>
      <c r="H78" s="146"/>
      <c r="I78" s="146"/>
      <c r="J78" s="146"/>
      <c r="K78" s="146"/>
      <c r="L78" s="146"/>
      <c r="M78" s="146"/>
    </row>
    <row r="79" spans="1:13" ht="18">
      <c r="A79" s="146"/>
      <c r="B79" s="146"/>
      <c r="C79" s="146"/>
      <c r="D79" s="146"/>
      <c r="E79" s="146"/>
      <c r="F79" s="146"/>
      <c r="G79" s="146"/>
      <c r="H79" s="146"/>
      <c r="I79" s="146"/>
      <c r="J79" s="146"/>
      <c r="K79" s="146"/>
      <c r="L79" s="146"/>
      <c r="M79" s="146"/>
    </row>
    <row r="80" spans="1:13" ht="18">
      <c r="A80" s="299"/>
      <c r="B80" s="146"/>
      <c r="C80" s="146"/>
      <c r="D80" s="146"/>
      <c r="E80" s="146"/>
      <c r="F80" s="146"/>
      <c r="G80" s="146"/>
      <c r="H80" s="146"/>
      <c r="I80" s="146"/>
      <c r="J80" s="146"/>
      <c r="K80" s="146"/>
      <c r="L80" s="146"/>
      <c r="M80" s="146"/>
    </row>
    <row r="81" spans="1:13" s="146" customFormat="1" ht="18"/>
    <row r="82" spans="1:13" ht="18">
      <c r="A82" s="146"/>
      <c r="B82" s="146"/>
      <c r="C82" s="146"/>
      <c r="D82" s="146"/>
      <c r="E82" s="146"/>
      <c r="F82" s="146"/>
      <c r="G82" s="146"/>
      <c r="H82" s="146"/>
      <c r="I82" s="146"/>
      <c r="J82" s="146"/>
      <c r="K82" s="146"/>
      <c r="L82" s="146"/>
      <c r="M82" s="146"/>
    </row>
    <row r="83" spans="1:13" s="146" customFormat="1" ht="18"/>
    <row r="84" spans="1:13" s="146" customFormat="1" ht="18"/>
    <row r="85" spans="1:13" s="146" customFormat="1" ht="18"/>
    <row r="86" spans="1:13" ht="18">
      <c r="A86" s="146"/>
      <c r="B86" s="146"/>
      <c r="C86" s="146"/>
      <c r="D86" s="146"/>
      <c r="E86" s="146"/>
      <c r="F86" s="146"/>
      <c r="G86" s="146"/>
      <c r="H86" s="146"/>
      <c r="I86" s="146"/>
      <c r="J86" s="146"/>
      <c r="K86" s="146"/>
      <c r="L86" s="146"/>
      <c r="M86" s="146"/>
    </row>
    <row r="87" spans="1:13" s="146" customFormat="1" ht="18"/>
    <row r="88" spans="1:13" s="146" customFormat="1" ht="18"/>
    <row r="89" spans="1:13" s="146" customFormat="1" ht="18"/>
    <row r="90" spans="1:13" s="146" customFormat="1" ht="18"/>
    <row r="91" spans="1:13" s="146" customFormat="1" ht="18"/>
    <row r="92" spans="1:13" s="146" customFormat="1" ht="18"/>
    <row r="93" spans="1:13" s="146" customFormat="1" ht="18"/>
    <row r="94" spans="1:13" s="146" customFormat="1" ht="18"/>
    <row r="95" spans="1:13" s="146" customFormat="1" ht="18"/>
    <row r="96" spans="1:13" s="146" customFormat="1" ht="18"/>
    <row r="97" s="146" customFormat="1" ht="18"/>
    <row r="98" s="146" customFormat="1" ht="18"/>
    <row r="99" s="146" customFormat="1" ht="18"/>
    <row r="100" s="146" customFormat="1" ht="18"/>
    <row r="101" s="146" customFormat="1" ht="18"/>
    <row r="102" s="146" customFormat="1" ht="18"/>
    <row r="103" s="146" customFormat="1" ht="18"/>
    <row r="104" s="146" customFormat="1" ht="18"/>
    <row r="105" s="146" customFormat="1" ht="18"/>
    <row r="106" s="146" customFormat="1" ht="18"/>
    <row r="107" s="146" customFormat="1" ht="18"/>
    <row r="108" s="146" customFormat="1" ht="18"/>
    <row r="109" s="146" customFormat="1" ht="18"/>
    <row r="110" s="146" customFormat="1" ht="18"/>
    <row r="111" s="146" customFormat="1" ht="18"/>
    <row r="112" s="146" customFormat="1" ht="18"/>
    <row r="113" s="146" customFormat="1" ht="18"/>
    <row r="114" s="146" customFormat="1" ht="18"/>
    <row r="115" s="146" customFormat="1" ht="18"/>
    <row r="116" s="146" customFormat="1" ht="18"/>
    <row r="117" s="146" customFormat="1" ht="18"/>
    <row r="118" s="146" customFormat="1" ht="18"/>
    <row r="119" s="146" customFormat="1" ht="18"/>
    <row r="120" s="146" customFormat="1" ht="18"/>
    <row r="121" s="146" customFormat="1" ht="18"/>
    <row r="122" s="146" customFormat="1" ht="18"/>
    <row r="123" s="146" customFormat="1" ht="18"/>
    <row r="124" s="146" customFormat="1" ht="18"/>
    <row r="125" s="146" customFormat="1" ht="18"/>
    <row r="126" s="146" customFormat="1" ht="18"/>
    <row r="127" s="146" customFormat="1" ht="18"/>
    <row r="128" s="146" customFormat="1" ht="18"/>
    <row r="129" s="146" customFormat="1" ht="18"/>
    <row r="130" s="146" customFormat="1" ht="18"/>
    <row r="131" s="146" customFormat="1" ht="18"/>
    <row r="132" s="146" customFormat="1" ht="18"/>
    <row r="133" s="146" customFormat="1" ht="18"/>
    <row r="134" s="146" customFormat="1" ht="18"/>
    <row r="135" s="146" customFormat="1" ht="18"/>
    <row r="136" s="146" customFormat="1" ht="18"/>
  </sheetData>
  <customSheetViews>
    <customSheetView guid="{83D69B98-1714-4D17-901F-87B47BE66947}" scale="80" showPageBreaks="1" showGridLines="0" fitToPage="1" printArea="1" topLeftCell="A14">
      <selection activeCell="A38" sqref="A38"/>
      <pageMargins left="0.5" right="0.5" top="0.5" bottom="0.5" header="0" footer="0.25"/>
      <printOptions horizontalCentered="1"/>
      <pageSetup scale="57" firstPageNumber="42" orientation="landscape" useFirstPageNumber="1" r:id="rId1"/>
      <headerFooter scaleWithDoc="0" alignWithMargins="0">
        <oddFooter>&amp;C&amp;8&amp;P</oddFooter>
      </headerFooter>
    </customSheetView>
    <customSheetView guid="{F9AE1502-86F7-4AAA-AE66-F6A75A634C1B}" scale="80" showPageBreaks="1" showGridLines="0" fitToPage="1" printArea="1">
      <selection activeCell="A28" sqref="A28"/>
      <pageMargins left="0.5" right="0.5" top="0.5" bottom="0.5" header="0" footer="0.25"/>
      <printOptions horizontalCentered="1"/>
      <pageSetup scale="57" firstPageNumber="42" orientation="landscape" useFirstPageNumber="1" r:id="rId2"/>
      <headerFooter scaleWithDoc="0" alignWithMargins="0">
        <oddFooter>&amp;C&amp;8&amp;P</oddFooter>
      </headerFooter>
    </customSheetView>
    <customSheetView guid="{C41E3923-0A88-49D0-AE43-0E74D386A056}" scale="80" showPageBreaks="1" showGridLines="0" fitToPage="1" printArea="1">
      <selection activeCell="A28" sqref="A28"/>
      <pageMargins left="0.5" right="0.5" top="0.5" bottom="0.5" header="0" footer="0.25"/>
      <printOptions horizontalCentered="1"/>
      <pageSetup scale="57" firstPageNumber="42" orientation="landscape" useFirstPageNumber="1" r:id="rId3"/>
      <headerFooter scaleWithDoc="0" alignWithMargins="0">
        <oddFooter>&amp;C&amp;8&amp;P</oddFooter>
      </headerFooter>
    </customSheetView>
    <customSheetView guid="{1DF171D7-3BFC-49F6-B708-0F91FCFAB6E2}" scale="80" showPageBreaks="1" showGridLines="0" fitToPage="1" printArea="1">
      <selection activeCell="A28" sqref="A28"/>
      <pageMargins left="0.5" right="0.5" top="0.5" bottom="0.5" header="0" footer="0.25"/>
      <printOptions horizontalCentered="1"/>
      <pageSetup scale="57" firstPageNumber="42" orientation="landscape" useFirstPageNumber="1" r:id="rId4"/>
      <headerFooter scaleWithDoc="0" alignWithMargins="0">
        <oddFooter>&amp;C&amp;8&amp;P</oddFooter>
      </headerFooter>
    </customSheetView>
    <customSheetView guid="{9F00D83C-7F4F-41B5-9976-8610D9EBC976}" scale="80" showPageBreaks="1" showGridLines="0" fitToPage="1" printArea="1">
      <selection activeCell="A28" sqref="A28"/>
      <pageMargins left="0.5" right="0.5" top="0.5" bottom="0.5" header="0" footer="0.25"/>
      <printOptions horizontalCentered="1"/>
      <pageSetup scale="57" firstPageNumber="42"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A10">
      <selection activeCell="D48" sqref="D48"/>
      <pageMargins left="0.5" right="0.5" top="0.5" bottom="0.5" header="0" footer="0.25"/>
      <printOptions horizontalCentered="1"/>
      <pageSetup scale="57" firstPageNumber="42"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A26">
      <selection activeCell="A28" sqref="A28"/>
      <pageMargins left="0.5" right="0.5" top="0.5" bottom="0.5" header="0" footer="0.25"/>
      <printOptions horizontalCentered="1"/>
      <pageSetup scale="57" firstPageNumber="42" orientation="landscape" useFirstPageNumber="1" r:id="rId7"/>
      <headerFooter scaleWithDoc="0" alignWithMargins="0">
        <oddFooter>&amp;C&amp;8&amp;P</oddFooter>
      </headerFooter>
    </customSheetView>
    <customSheetView guid="{C3636880-B45B-4897-94F2-F91976416934}" scale="80" showPageBreaks="1" showGridLines="0" fitToPage="1" printArea="1">
      <selection activeCell="A28" sqref="A28"/>
      <pageMargins left="0.5" right="0.5" top="0.5" bottom="0.5" header="0" footer="0.25"/>
      <printOptions horizontalCentered="1"/>
      <pageSetup scale="57" firstPageNumber="42" orientation="landscape" useFirstPageNumber="1" r:id="rId8"/>
      <headerFooter scaleWithDoc="0" alignWithMargins="0">
        <oddFooter>&amp;C&amp;8&amp;P</oddFooter>
      </headerFooter>
    </customSheetView>
  </customSheetViews>
  <printOptions horizontalCentered="1"/>
  <pageMargins left="0.5" right="0.5" top="0.5" bottom="0.5" header="0" footer="0.25"/>
  <pageSetup scale="57" firstPageNumber="42" orientation="landscape" useFirstPageNumber="1" r:id="rId9"/>
  <headerFooter scaleWithDoc="0" alignWithMargins="0">
    <oddFooter>&amp;C&amp;8&amp;P</oddFooter>
  </headerFooter>
  <customProperties>
    <customPr name="SheetOptions" r:id="rId10"/>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88671875" defaultRowHeight="12.75"/>
  <cols>
    <col min="1" max="1" width="53.5546875" style="629" customWidth="1"/>
    <col min="2" max="2" width="1.88671875" style="629" customWidth="1"/>
    <col min="3" max="3" width="2.88671875" style="629" customWidth="1"/>
    <col min="4" max="4" width="20.88671875" style="629" customWidth="1"/>
    <col min="5" max="5" width="5.88671875" style="629" customWidth="1"/>
    <col min="6" max="6" width="20.88671875" style="629" customWidth="1"/>
    <col min="7" max="7" width="5.88671875" style="629" customWidth="1"/>
    <col min="8" max="8" width="20.88671875" style="629" customWidth="1"/>
    <col min="9" max="9" width="5.88671875" style="629" customWidth="1"/>
    <col min="10" max="10" width="20.88671875" style="629" customWidth="1"/>
    <col min="11" max="11" width="1.109375" style="629" customWidth="1"/>
    <col min="12" max="16384" width="8.88671875" style="629"/>
  </cols>
  <sheetData>
    <row r="1" spans="1:10" ht="15">
      <c r="A1" s="265" t="s">
        <v>97</v>
      </c>
    </row>
    <row r="2" spans="1:10" ht="15">
      <c r="A2" s="463"/>
    </row>
    <row r="3" spans="1:10" ht="18">
      <c r="A3" s="630" t="s">
        <v>98</v>
      </c>
      <c r="B3" s="631"/>
      <c r="C3" s="631"/>
      <c r="D3" s="631"/>
      <c r="E3" s="631"/>
      <c r="F3" s="631"/>
      <c r="G3" s="630"/>
      <c r="H3" s="630"/>
      <c r="I3" s="630"/>
      <c r="J3" s="633" t="s">
        <v>792</v>
      </c>
    </row>
    <row r="4" spans="1:10" ht="18">
      <c r="A4" s="630" t="s">
        <v>793</v>
      </c>
      <c r="B4" s="631"/>
      <c r="C4" s="630"/>
      <c r="D4" s="631"/>
      <c r="E4" s="631"/>
      <c r="F4" s="631"/>
      <c r="G4" s="630"/>
      <c r="H4" s="630"/>
      <c r="I4" s="630"/>
      <c r="J4" s="630"/>
    </row>
    <row r="5" spans="1:10" ht="18">
      <c r="A5" s="630" t="s">
        <v>794</v>
      </c>
      <c r="B5" s="631"/>
      <c r="C5" s="630"/>
      <c r="D5" s="631"/>
      <c r="E5" s="631"/>
      <c r="F5" s="631"/>
      <c r="G5" s="630"/>
      <c r="H5" s="630"/>
      <c r="I5" s="630"/>
      <c r="J5" s="630"/>
    </row>
    <row r="6" spans="1:10" ht="18">
      <c r="A6" s="630" t="str">
        <f>'Sch 3 '!A7</f>
        <v>FISCAL YEAR 2026-2027</v>
      </c>
      <c r="B6" s="631"/>
      <c r="C6" s="630"/>
      <c r="D6" s="631"/>
      <c r="E6" s="631"/>
      <c r="F6" s="631"/>
      <c r="G6" s="630"/>
      <c r="H6" s="630"/>
      <c r="I6" s="630"/>
      <c r="J6" s="630"/>
    </row>
    <row r="7" spans="1:10" ht="18">
      <c r="A7" s="632" t="str">
        <f>'Sch 3 '!A8</f>
        <v>FOR THE MONTH OF JUNE 2026</v>
      </c>
      <c r="B7" s="631"/>
      <c r="C7" s="630"/>
      <c r="D7" s="631"/>
      <c r="E7" s="631"/>
      <c r="F7" s="631"/>
      <c r="G7" s="630"/>
      <c r="H7" s="630"/>
      <c r="I7" s="630"/>
      <c r="J7" s="630"/>
    </row>
    <row r="8" spans="1:10" ht="18">
      <c r="A8" s="630" t="s">
        <v>102</v>
      </c>
      <c r="B8" s="631"/>
      <c r="C8" s="630"/>
      <c r="D8" s="631"/>
      <c r="E8" s="631"/>
      <c r="F8" s="631"/>
      <c r="G8" s="630"/>
      <c r="H8" s="630"/>
      <c r="I8" s="630"/>
      <c r="J8" s="630"/>
    </row>
    <row r="9" spans="1:10" ht="18">
      <c r="A9" s="630"/>
      <c r="B9" s="631"/>
      <c r="C9" s="630"/>
      <c r="D9" s="631"/>
      <c r="E9" s="631"/>
      <c r="F9" s="631"/>
      <c r="G9" s="630"/>
      <c r="H9" s="630"/>
      <c r="I9" s="630"/>
      <c r="J9" s="630"/>
    </row>
    <row r="10" spans="1:10" ht="18">
      <c r="A10" s="630"/>
      <c r="B10" s="630"/>
      <c r="C10" s="630"/>
      <c r="D10" s="630"/>
      <c r="E10" s="630"/>
      <c r="F10" s="630"/>
      <c r="G10" s="630"/>
      <c r="H10" s="630"/>
      <c r="I10" s="630"/>
      <c r="J10" s="630"/>
    </row>
    <row r="11" spans="1:10" ht="18">
      <c r="A11" s="630"/>
      <c r="B11" s="630"/>
      <c r="C11" s="630"/>
      <c r="D11" s="633"/>
      <c r="E11" s="630"/>
      <c r="F11" s="630"/>
      <c r="G11" s="630"/>
      <c r="H11" s="630"/>
      <c r="I11" s="630"/>
      <c r="J11" s="633"/>
    </row>
    <row r="12" spans="1:10" ht="18">
      <c r="A12" s="630"/>
      <c r="B12" s="630"/>
      <c r="C12" s="630"/>
      <c r="D12" s="633" t="s">
        <v>608</v>
      </c>
      <c r="E12" s="630"/>
      <c r="F12" s="630"/>
      <c r="G12" s="630"/>
      <c r="H12" s="630"/>
      <c r="I12" s="630"/>
      <c r="J12" s="633" t="s">
        <v>608</v>
      </c>
    </row>
    <row r="13" spans="1:10" ht="18">
      <c r="A13" s="634" t="s">
        <v>744</v>
      </c>
      <c r="B13" s="630"/>
      <c r="C13" s="630"/>
      <c r="D13" s="635" t="str">
        <f>'Sch 3 '!D12</f>
        <v>JUNE 1, 2026</v>
      </c>
      <c r="E13" s="630"/>
      <c r="F13" s="633" t="s">
        <v>610</v>
      </c>
      <c r="G13" s="630"/>
      <c r="H13" s="633" t="s">
        <v>611</v>
      </c>
      <c r="I13" s="630"/>
      <c r="J13" s="635" t="str">
        <f>'Sch 3 '!L12</f>
        <v>JUNE 30, 2026</v>
      </c>
    </row>
    <row r="14" spans="1:10" ht="18">
      <c r="A14" s="634"/>
      <c r="B14" s="630"/>
      <c r="C14" s="630"/>
      <c r="D14" s="636"/>
      <c r="E14" s="630"/>
      <c r="F14" s="636"/>
      <c r="G14" s="630"/>
      <c r="H14" s="637" t="s">
        <v>607</v>
      </c>
      <c r="I14" s="630"/>
      <c r="J14" s="636"/>
    </row>
    <row r="15" spans="1:10" ht="18">
      <c r="A15" s="638" t="s">
        <v>795</v>
      </c>
      <c r="B15" s="630"/>
      <c r="C15" s="630"/>
      <c r="D15" s="630"/>
      <c r="E15" s="630"/>
      <c r="F15" s="848"/>
      <c r="G15" s="630"/>
      <c r="H15" s="630"/>
      <c r="I15" s="630"/>
      <c r="J15" s="630"/>
    </row>
    <row r="16" spans="1:10" ht="25.35" customHeight="1">
      <c r="A16" s="631" t="s">
        <v>796</v>
      </c>
      <c r="B16" s="630"/>
      <c r="C16" s="631"/>
      <c r="D16" s="1691">
        <v>3.4390000000000001</v>
      </c>
      <c r="E16" s="1646"/>
      <c r="F16" s="1691">
        <v>1.0999999999999999E-2</v>
      </c>
      <c r="G16" s="1646"/>
      <c r="H16" s="1691">
        <v>0</v>
      </c>
      <c r="I16" s="639"/>
      <c r="J16" s="639">
        <f>ROUND(D16+F16-H16,3)</f>
        <v>3.45</v>
      </c>
    </row>
    <row r="17" spans="1:14" ht="25.35" customHeight="1">
      <c r="A17" s="631" t="s">
        <v>797</v>
      </c>
      <c r="B17" s="631"/>
      <c r="C17" s="631"/>
      <c r="D17" s="590">
        <v>462.81200000000001</v>
      </c>
      <c r="E17" s="641"/>
      <c r="F17" s="590">
        <v>436.19600000000003</v>
      </c>
      <c r="G17" s="639"/>
      <c r="H17" s="590">
        <v>479.226</v>
      </c>
      <c r="I17" s="641"/>
      <c r="J17" s="642">
        <f>ROUND(D17+F17-H17,3)</f>
        <v>419.78199999999998</v>
      </c>
    </row>
    <row r="18" spans="1:14" ht="25.35" customHeight="1">
      <c r="A18" s="640" t="s">
        <v>798</v>
      </c>
      <c r="B18" s="631"/>
      <c r="C18" s="631"/>
      <c r="D18" s="590">
        <v>3478.538</v>
      </c>
      <c r="E18" s="641"/>
      <c r="F18" s="590">
        <v>4001.9259999999999</v>
      </c>
      <c r="G18" s="639"/>
      <c r="H18" s="590">
        <v>4598.2079999999996</v>
      </c>
      <c r="I18" s="641"/>
      <c r="J18" s="642">
        <f>ROUND(D18+F18-H18,3)</f>
        <v>2882.2559999999999</v>
      </c>
    </row>
    <row r="19" spans="1:14" ht="25.35" customHeight="1">
      <c r="A19" s="631" t="s">
        <v>799</v>
      </c>
      <c r="B19" s="631"/>
      <c r="C19" s="631"/>
      <c r="D19" s="590">
        <v>0</v>
      </c>
      <c r="E19" s="641"/>
      <c r="F19" s="590">
        <v>291.00400000000002</v>
      </c>
      <c r="G19" s="639"/>
      <c r="H19" s="590">
        <v>291.00400000000002</v>
      </c>
      <c r="I19" s="641"/>
      <c r="J19" s="642">
        <f>ROUND(D19+F19-H19,3)</f>
        <v>0</v>
      </c>
    </row>
    <row r="20" spans="1:14" ht="25.35" customHeight="1" thickBot="1">
      <c r="A20" s="643" t="s">
        <v>800</v>
      </c>
      <c r="B20" s="631"/>
      <c r="C20" s="631"/>
      <c r="D20" s="644">
        <f>ROUND(SUM(D16:D19),3)</f>
        <v>3944.7890000000002</v>
      </c>
      <c r="E20" s="849"/>
      <c r="F20" s="644">
        <f>ROUND(SUM(F16:F19),3)</f>
        <v>4729.1369999999997</v>
      </c>
      <c r="G20" s="849"/>
      <c r="H20" s="644">
        <f>ROUND(SUM(H16:H19),3)</f>
        <v>5368.4380000000001</v>
      </c>
      <c r="I20" s="849"/>
      <c r="J20" s="644">
        <f>ROUND(SUM(J16:J19),3)</f>
        <v>3305.4879999999998</v>
      </c>
      <c r="K20" s="645"/>
      <c r="L20" s="645"/>
      <c r="M20" s="645"/>
      <c r="N20" s="645"/>
    </row>
    <row r="21" spans="1:14" ht="18.75" thickTop="1">
      <c r="A21" s="631"/>
      <c r="B21" s="631"/>
      <c r="C21" s="631"/>
      <c r="D21" s="631"/>
      <c r="E21" s="631"/>
      <c r="F21" s="631"/>
      <c r="G21" s="631"/>
      <c r="H21" s="631"/>
      <c r="I21" s="631"/>
      <c r="J21" s="631"/>
    </row>
    <row r="22" spans="1:14" ht="18">
      <c r="A22" s="631"/>
      <c r="B22" s="631"/>
      <c r="C22" s="631"/>
      <c r="D22" s="631"/>
      <c r="E22" s="631"/>
      <c r="F22" s="631"/>
      <c r="G22" s="631"/>
      <c r="H22" s="631"/>
      <c r="I22" s="631"/>
      <c r="J22" s="631"/>
    </row>
    <row r="23" spans="1:14" ht="6.75" customHeight="1">
      <c r="A23" s="631"/>
      <c r="B23" s="631"/>
      <c r="C23" s="631"/>
      <c r="D23" s="631"/>
      <c r="E23" s="631"/>
      <c r="F23" s="631"/>
      <c r="G23" s="631"/>
      <c r="H23" s="631"/>
      <c r="I23" s="631"/>
      <c r="J23" s="631"/>
    </row>
    <row r="24" spans="1:14" ht="18">
      <c r="A24" s="684" t="s">
        <v>801</v>
      </c>
      <c r="B24" s="631"/>
      <c r="C24" s="631"/>
      <c r="D24" s="631"/>
      <c r="E24" s="631"/>
      <c r="F24" s="631" t="s">
        <v>103</v>
      </c>
      <c r="G24" s="631"/>
      <c r="H24" s="631"/>
      <c r="I24" s="631"/>
      <c r="J24" s="631"/>
    </row>
    <row r="25" spans="1:14" ht="6" customHeight="1"/>
    <row r="26" spans="1:14" ht="59.25" customHeight="1">
      <c r="A26" s="2071" t="s">
        <v>802</v>
      </c>
      <c r="B26" s="2071"/>
      <c r="C26" s="2071"/>
      <c r="D26" s="2071"/>
      <c r="E26" s="2071"/>
      <c r="F26" s="2071"/>
      <c r="G26" s="2071"/>
      <c r="H26" s="2071"/>
      <c r="I26" s="2071"/>
      <c r="J26" s="2071"/>
    </row>
    <row r="27" spans="1:14" ht="43.35" customHeight="1">
      <c r="A27" s="2072" t="s">
        <v>1547</v>
      </c>
      <c r="B27" s="2072"/>
      <c r="C27" s="2072"/>
      <c r="D27" s="2072"/>
      <c r="E27" s="2072"/>
      <c r="F27" s="2072"/>
      <c r="G27" s="2072"/>
      <c r="H27" s="2072"/>
      <c r="I27" s="2072"/>
      <c r="J27" s="2072"/>
    </row>
    <row r="28" spans="1:14" ht="18.75" customHeight="1">
      <c r="A28" s="2073"/>
      <c r="B28" s="2073"/>
      <c r="C28" s="2073"/>
      <c r="D28" s="2073"/>
      <c r="E28" s="2073"/>
      <c r="F28" s="2073"/>
      <c r="G28" s="2073"/>
      <c r="H28" s="2073"/>
      <c r="I28" s="2073"/>
      <c r="J28" s="2073"/>
    </row>
    <row r="29" spans="1:14" ht="20.25" customHeight="1">
      <c r="A29" s="1224"/>
      <c r="B29" s="440"/>
      <c r="C29" s="440"/>
      <c r="D29" s="440"/>
      <c r="E29" s="440"/>
      <c r="F29" s="440"/>
      <c r="G29" s="440"/>
      <c r="H29" s="440"/>
      <c r="I29" s="440"/>
      <c r="J29" s="440"/>
    </row>
    <row r="30" spans="1:14" ht="20.25" customHeight="1">
      <c r="A30" s="1224"/>
      <c r="B30" s="440"/>
      <c r="C30" s="440"/>
      <c r="D30" s="440"/>
      <c r="E30" s="440"/>
      <c r="F30" s="440"/>
      <c r="G30" s="440"/>
      <c r="H30" s="440"/>
      <c r="I30" s="440"/>
      <c r="J30" s="440"/>
    </row>
    <row r="31" spans="1:14" ht="20.25" customHeight="1">
      <c r="A31" s="1224"/>
      <c r="B31" s="440"/>
      <c r="C31" s="440"/>
      <c r="D31" s="440"/>
      <c r="E31" s="440"/>
      <c r="F31" s="440"/>
      <c r="G31" s="440"/>
      <c r="H31" s="440"/>
      <c r="I31" s="440"/>
      <c r="J31" s="440"/>
    </row>
    <row r="32" spans="1:14" ht="20.25" customHeight="1">
      <c r="A32" s="1224"/>
      <c r="B32" s="440"/>
      <c r="C32" s="440"/>
      <c r="D32" s="440"/>
      <c r="E32" s="440"/>
      <c r="F32" s="440"/>
      <c r="G32" s="440"/>
      <c r="H32" s="440"/>
      <c r="I32" s="440"/>
      <c r="J32" s="440"/>
    </row>
    <row r="33" spans="1:10" ht="20.25" customHeight="1">
      <c r="A33" s="1224"/>
      <c r="B33" s="440"/>
      <c r="C33" s="440"/>
      <c r="D33" s="440"/>
      <c r="E33" s="440"/>
      <c r="F33" s="440"/>
      <c r="G33" s="440"/>
      <c r="H33" s="440"/>
      <c r="I33" s="440"/>
      <c r="J33" s="440"/>
    </row>
    <row r="34" spans="1:10" ht="20.25" customHeight="1">
      <c r="A34" s="1224"/>
      <c r="B34" s="440"/>
      <c r="C34" s="440"/>
      <c r="D34" s="440"/>
      <c r="E34" s="440"/>
      <c r="F34" s="440"/>
      <c r="G34" s="440"/>
      <c r="H34" s="440"/>
      <c r="I34" s="440"/>
      <c r="J34" s="440"/>
    </row>
    <row r="35" spans="1:10" ht="20.25" customHeight="1">
      <c r="A35" s="1224"/>
      <c r="B35" s="440"/>
      <c r="C35" s="440"/>
      <c r="D35" s="440"/>
      <c r="E35" s="440"/>
      <c r="F35" s="440"/>
      <c r="G35" s="440"/>
      <c r="H35" s="440"/>
      <c r="I35" s="440"/>
      <c r="J35" s="440"/>
    </row>
    <row r="36" spans="1:10" ht="20.25" customHeight="1">
      <c r="A36" s="1224"/>
      <c r="B36" s="440"/>
      <c r="C36" s="440"/>
      <c r="D36" s="440"/>
      <c r="E36" s="440"/>
      <c r="F36" s="440"/>
      <c r="G36" s="440"/>
      <c r="H36" s="440"/>
      <c r="I36" s="440"/>
      <c r="J36" s="440"/>
    </row>
    <row r="37" spans="1:10" ht="20.25" customHeight="1">
      <c r="A37" s="1224"/>
      <c r="B37" s="440"/>
      <c r="C37" s="440"/>
      <c r="D37" s="440"/>
      <c r="E37" s="440"/>
      <c r="F37" s="440"/>
      <c r="G37" s="440"/>
      <c r="H37" s="440"/>
      <c r="I37" s="440"/>
      <c r="J37" s="440"/>
    </row>
    <row r="38" spans="1:10" ht="20.25" customHeight="1">
      <c r="A38" s="1224"/>
      <c r="B38" s="440"/>
      <c r="C38" s="440"/>
      <c r="D38" s="440"/>
      <c r="E38" s="440"/>
      <c r="F38" s="440"/>
      <c r="G38" s="440"/>
      <c r="H38" s="440"/>
      <c r="I38" s="440"/>
      <c r="J38" s="440"/>
    </row>
    <row r="39" spans="1:10" ht="20.25" customHeight="1">
      <c r="A39" s="1224"/>
      <c r="B39" s="440"/>
      <c r="C39" s="440"/>
      <c r="D39" s="440"/>
      <c r="E39" s="440"/>
      <c r="G39" s="440"/>
      <c r="H39" s="440"/>
      <c r="I39" s="440"/>
      <c r="J39" s="440"/>
    </row>
    <row r="40" spans="1:10" ht="21" customHeight="1">
      <c r="F40" s="440"/>
    </row>
    <row r="41" spans="1:10" ht="21" customHeight="1">
      <c r="A41" s="1224"/>
      <c r="B41" s="440"/>
      <c r="C41" s="440"/>
      <c r="D41" s="440"/>
      <c r="E41" s="440"/>
      <c r="F41" s="440"/>
      <c r="G41" s="440"/>
      <c r="H41" s="440"/>
      <c r="I41" s="440"/>
      <c r="J41" s="440"/>
    </row>
    <row r="42" spans="1:10" ht="18" customHeight="1">
      <c r="A42" s="646"/>
      <c r="C42" s="647"/>
      <c r="D42" s="648"/>
      <c r="E42" s="647"/>
      <c r="F42" s="648"/>
      <c r="G42" s="647"/>
      <c r="H42" s="648"/>
      <c r="I42" s="648"/>
    </row>
    <row r="43" spans="1:10" ht="18" customHeight="1">
      <c r="A43" s="649"/>
      <c r="D43" s="648"/>
      <c r="F43" s="650"/>
      <c r="G43" s="648"/>
      <c r="H43" s="648"/>
      <c r="I43" s="648"/>
    </row>
    <row r="44" spans="1:10" ht="18" customHeight="1">
      <c r="A44" s="649"/>
      <c r="D44" s="648"/>
      <c r="F44" s="650"/>
      <c r="G44" s="648"/>
      <c r="H44" s="648"/>
      <c r="I44" s="648"/>
    </row>
    <row r="45" spans="1:10" ht="18" customHeight="1">
      <c r="A45" s="649"/>
      <c r="D45" s="648"/>
      <c r="F45" s="650"/>
      <c r="G45" s="648"/>
      <c r="H45" s="648"/>
      <c r="I45" s="648"/>
    </row>
    <row r="46" spans="1:10" ht="18" customHeight="1">
      <c r="A46" s="649"/>
      <c r="D46" s="648"/>
      <c r="F46" s="648"/>
      <c r="G46" s="648"/>
      <c r="H46" s="651"/>
      <c r="I46" s="648"/>
    </row>
    <row r="47" spans="1:10" ht="18" customHeight="1">
      <c r="A47" s="652"/>
      <c r="D47" s="648"/>
      <c r="F47" s="648"/>
      <c r="G47" s="648"/>
      <c r="H47" s="648"/>
      <c r="I47" s="648"/>
    </row>
    <row r="48" spans="1:10" ht="18" customHeight="1">
      <c r="A48" s="653"/>
      <c r="D48" s="648"/>
      <c r="F48" s="651"/>
      <c r="G48" s="648"/>
      <c r="H48" s="648"/>
      <c r="I48" s="648"/>
    </row>
    <row r="49" spans="1:9" ht="18" customHeight="1">
      <c r="A49" s="649"/>
      <c r="D49" s="648"/>
      <c r="F49" s="650"/>
      <c r="G49" s="648"/>
      <c r="H49" s="648"/>
      <c r="I49" s="648"/>
    </row>
    <row r="50" spans="1:9" ht="18" customHeight="1">
      <c r="A50" s="649"/>
      <c r="D50" s="648"/>
      <c r="F50" s="654"/>
      <c r="G50" s="648"/>
      <c r="H50" s="651"/>
      <c r="I50" s="648"/>
    </row>
    <row r="51" spans="1:9" ht="18" customHeight="1">
      <c r="A51" s="652"/>
      <c r="C51" s="647"/>
      <c r="D51" s="655"/>
      <c r="E51" s="647"/>
      <c r="G51" s="647"/>
      <c r="H51" s="655"/>
      <c r="I51" s="648"/>
    </row>
  </sheetData>
  <customSheetViews>
    <customSheetView guid="{83D69B98-1714-4D17-901F-87B47BE66947}" scale="90" showPageBreaks="1" showGridLines="0" fitToPage="1" printArea="1" topLeftCell="A5">
      <selection activeCell="A27" sqref="A27:J27"/>
      <rowBreaks count="1" manualBreakCount="1">
        <brk id="69" max="16383" man="1"/>
      </rowBreaks>
      <pageMargins left="0.5" right="0.5" top="0.5" bottom="0.5" header="0" footer="0.25"/>
      <printOptions horizontalCentered="1"/>
      <pageSetup scale="66" firstPageNumber="43" orientation="landscape" useFirstPageNumber="1" r:id="rId1"/>
      <headerFooter scaleWithDoc="0" alignWithMargins="0">
        <oddFooter>&amp;C&amp;8&amp;P</oddFooter>
      </headerFooter>
    </customSheetView>
    <customSheetView guid="{F9AE1502-86F7-4AAA-AE66-F6A75A634C1B}" scale="90" showPageBreaks="1" showGridLines="0" fitToPage="1" printArea="1">
      <selection activeCell="A28" sqref="A28:J28"/>
      <rowBreaks count="1" manualBreakCount="1">
        <brk id="69" max="16383" man="1"/>
      </rowBreaks>
      <pageMargins left="0.5" right="0.5" top="0.5" bottom="0.5" header="0" footer="0.25"/>
      <printOptions horizontalCentered="1"/>
      <pageSetup scale="67" firstPageNumber="43" orientation="landscape" useFirstPageNumber="1" r:id="rId2"/>
      <headerFooter scaleWithDoc="0" alignWithMargins="0">
        <oddFooter>&amp;C&amp;8&amp;P</oddFooter>
      </headerFooter>
    </customSheetView>
    <customSheetView guid="{C41E3923-0A88-49D0-AE43-0E74D386A056}"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3"/>
      <headerFooter scaleWithDoc="0" alignWithMargins="0">
        <oddFooter>&amp;C&amp;8&amp;P</oddFooter>
      </headerFooter>
    </customSheetView>
    <customSheetView guid="{1DF171D7-3BFC-49F6-B708-0F91FCFAB6E2}"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4"/>
      <headerFooter scaleWithDoc="0" alignWithMargins="0">
        <oddFooter>&amp;C&amp;8&amp;P</oddFooter>
      </headerFooter>
    </customSheetView>
    <customSheetView guid="{9F00D83C-7F4F-41B5-9976-8610D9EBC976}" scale="90" showPageBreaks="1" showGridLines="0" fitToPage="1" printArea="1">
      <selection activeCell="A28" sqref="A28:J28"/>
      <rowBreaks count="1" manualBreakCount="1">
        <brk id="69" max="16383" man="1"/>
      </rowBreaks>
      <pageMargins left="0.5" right="0.5" top="0.5" bottom="0.5" header="0" footer="0.25"/>
      <printOptions horizontalCentered="1"/>
      <pageSetup scale="67" firstPageNumber="43"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10">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6"/>
      <headerFooter scaleWithDoc="0" alignWithMargins="0">
        <oddFooter>&amp;C&amp;8&amp;P</oddFooter>
      </headerFooter>
    </customSheetView>
    <customSheetView guid="{3A50DD26-AAF5-43D4-97DE-BAE3367A2F29}" scale="90" showPageBreaks="1" showGridLines="0" fitToPage="1" printArea="1" topLeftCell="A2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7"/>
      <headerFooter scaleWithDoc="0" alignWithMargins="0">
        <oddFooter>&amp;C&amp;8&amp;P</oddFooter>
      </headerFooter>
    </customSheetView>
    <customSheetView guid="{C3636880-B45B-4897-94F2-F91976416934}" scale="90" showPageBreaks="1" showGridLines="0" fitToPage="1" printArea="1">
      <selection activeCell="A28" sqref="A28:J28"/>
      <rowBreaks count="1" manualBreakCount="1">
        <brk id="69" max="16383" man="1"/>
      </rowBreaks>
      <pageMargins left="0.5" right="0.5" top="0.5" bottom="0.5" header="0" footer="0.25"/>
      <printOptions horizontalCentered="1"/>
      <pageSetup scale="66" firstPageNumber="43" orientation="landscape" useFirstPageNumber="1" r:id="rId8"/>
      <headerFooter scaleWithDoc="0" alignWithMargins="0">
        <oddFooter>&amp;C&amp;8&amp;P</oddFooter>
      </headerFooter>
    </customSheetView>
  </customSheetViews>
  <mergeCells count="3">
    <mergeCell ref="A26:J26"/>
    <mergeCell ref="A27:J27"/>
    <mergeCell ref="A28:J28"/>
  </mergeCells>
  <printOptions horizontalCentered="1"/>
  <pageMargins left="0.5" right="0.5" top="0.5" bottom="0.5" header="0" footer="0.25"/>
  <pageSetup scale="66" firstPageNumber="43" orientation="landscape" useFirstPageNumber="1" r:id="rId9"/>
  <headerFooter scaleWithDoc="0" alignWithMargins="0">
    <oddFooter>&amp;C&amp;8&amp;P</oddFooter>
  </headerFooter>
  <rowBreaks count="1" manualBreakCount="1">
    <brk id="69" max="16383" man="1"/>
  </rowBreaks>
  <customProperties>
    <customPr name="SheetOptions" r:id="rId10"/>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87"/>
  <sheetViews>
    <sheetView showGridLines="0" zoomScaleNormal="100" workbookViewId="0"/>
  </sheetViews>
  <sheetFormatPr defaultColWidth="8.88671875" defaultRowHeight="12.75"/>
  <cols>
    <col min="1" max="1" width="42" style="259" customWidth="1"/>
    <col min="2" max="2" width="2.109375" style="259" customWidth="1"/>
    <col min="3" max="3" width="17.109375" style="342" customWidth="1"/>
    <col min="4" max="4" width="2.109375" style="342" customWidth="1"/>
    <col min="5" max="5" width="15.44140625" style="259" customWidth="1"/>
    <col min="6" max="6" width="2.109375" style="259" customWidth="1"/>
    <col min="7" max="7" width="16.109375" style="259" customWidth="1"/>
    <col min="8" max="8" width="2.109375" style="259" customWidth="1"/>
    <col min="9" max="9" width="15.5546875" style="260" customWidth="1"/>
    <col min="10" max="10" width="2.109375" style="259" customWidth="1"/>
    <col min="11" max="11" width="16.44140625" style="260" bestFit="1" customWidth="1"/>
    <col min="12" max="12" width="2.109375" style="259" customWidth="1"/>
    <col min="13" max="13" width="17.109375" style="342" customWidth="1"/>
    <col min="14" max="14" width="1.88671875" style="259" customWidth="1"/>
    <col min="15" max="15" width="1.109375" style="259" customWidth="1"/>
    <col min="16" max="16" width="2" style="259" customWidth="1"/>
    <col min="17" max="17" width="15.44140625" style="259" customWidth="1"/>
    <col min="18" max="18" width="2.109375" style="259" customWidth="1"/>
    <col min="19" max="19" width="16.44140625" style="259" bestFit="1" customWidth="1"/>
    <col min="20" max="16384" width="8.88671875" style="259"/>
  </cols>
  <sheetData>
    <row r="1" spans="1:19" ht="15">
      <c r="A1" s="386" t="s">
        <v>97</v>
      </c>
    </row>
    <row r="2" spans="1:19" ht="15">
      <c r="A2" s="265"/>
    </row>
    <row r="3" spans="1:19" ht="18">
      <c r="A3" s="258" t="s">
        <v>98</v>
      </c>
      <c r="S3" s="258" t="s">
        <v>803</v>
      </c>
    </row>
    <row r="4" spans="1:19" ht="18">
      <c r="A4" s="258" t="s">
        <v>540</v>
      </c>
      <c r="J4" s="259" t="s">
        <v>103</v>
      </c>
    </row>
    <row r="5" spans="1:19" ht="18">
      <c r="A5" s="258" t="s">
        <v>804</v>
      </c>
    </row>
    <row r="6" spans="1:19" ht="18">
      <c r="A6" s="567" t="str">
        <f>'Cashflow Governmental'!$A$6</f>
        <v>FISCAL YEAR 2026-2027</v>
      </c>
    </row>
    <row r="9" spans="1:19" ht="15.6" customHeight="1">
      <c r="C9" s="893"/>
      <c r="D9" s="548"/>
      <c r="E9" s="2074" t="s">
        <v>1450</v>
      </c>
      <c r="F9" s="2074"/>
      <c r="G9" s="2074"/>
      <c r="H9" s="1155"/>
      <c r="I9" s="1156" t="s">
        <v>805</v>
      </c>
      <c r="J9" s="1156"/>
      <c r="K9" s="1156"/>
      <c r="L9" s="1157"/>
      <c r="M9" s="1157"/>
      <c r="N9" s="1157"/>
      <c r="O9" s="1158"/>
      <c r="P9" s="1157"/>
      <c r="Q9" s="1156" t="s">
        <v>806</v>
      </c>
      <c r="R9" s="1156"/>
      <c r="S9" s="1156"/>
    </row>
    <row r="10" spans="1:19">
      <c r="C10" s="549" t="s">
        <v>807</v>
      </c>
      <c r="D10" s="549"/>
      <c r="E10" s="1159"/>
      <c r="F10" s="548"/>
      <c r="G10" s="1160"/>
      <c r="H10" s="1157"/>
      <c r="I10" s="1160"/>
      <c r="J10" s="1160"/>
      <c r="K10" s="1160"/>
      <c r="L10" s="1157"/>
      <c r="M10" s="549" t="s">
        <v>807</v>
      </c>
      <c r="N10" s="1157"/>
      <c r="O10" s="1161"/>
      <c r="P10" s="1157"/>
    </row>
    <row r="11" spans="1:19">
      <c r="C11" s="549" t="s">
        <v>808</v>
      </c>
      <c r="D11" s="549"/>
      <c r="E11" s="1160" t="s">
        <v>109</v>
      </c>
      <c r="F11" s="548"/>
      <c r="G11" s="550" t="str">
        <f>_xlfn.CONCAT(_xlfn.TEXTBEFORE('Exhibit A'!$F$11," ")," MONTHS ENDED")</f>
        <v>3 MONTHS ENDED</v>
      </c>
      <c r="H11" s="1157"/>
      <c r="I11" s="548" t="s">
        <v>809</v>
      </c>
      <c r="J11" s="1162" t="s">
        <v>103</v>
      </c>
      <c r="K11" s="548" t="str">
        <f>G11</f>
        <v>3 MONTHS ENDED</v>
      </c>
      <c r="L11" s="1157"/>
      <c r="M11" s="549" t="s">
        <v>808</v>
      </c>
      <c r="N11" s="1157"/>
      <c r="O11" s="1161"/>
      <c r="P11" s="1157"/>
      <c r="Q11" s="548" t="s">
        <v>809</v>
      </c>
      <c r="R11" s="1162" t="s">
        <v>103</v>
      </c>
      <c r="S11" s="548" t="str">
        <f>K11</f>
        <v>3 MONTHS ENDED</v>
      </c>
    </row>
    <row r="12" spans="1:19">
      <c r="A12" s="1083" t="s">
        <v>810</v>
      </c>
      <c r="C12" s="1084" t="str">
        <f>'Cashflow Governmental'!$C$14&amp;" 1, "&amp;'Cashflow Governmental'!$C$13</f>
        <v>APRIL 1, 2026</v>
      </c>
      <c r="D12" s="1271"/>
      <c r="E12" s="1647" t="str">
        <f>_xlfn.TEXTBEFORE(Footnotes!$O$3," ")</f>
        <v>JUNE</v>
      </c>
      <c r="F12" s="550"/>
      <c r="G12" s="1647" t="str">
        <f>_xlfn.TEXTAFTER('Exh D Governmental  '!A6," ",4)</f>
        <v>JUNE 30, 2026</v>
      </c>
      <c r="H12" s="1157"/>
      <c r="I12" s="1647" t="str">
        <f>E12</f>
        <v>JUNE</v>
      </c>
      <c r="J12" s="1157"/>
      <c r="K12" s="1163" t="str">
        <f>G12</f>
        <v>JUNE 30, 2026</v>
      </c>
      <c r="L12" s="1157"/>
      <c r="M12" s="1163" t="str">
        <f>K12</f>
        <v>JUNE 30, 2026</v>
      </c>
      <c r="N12" s="1157"/>
      <c r="O12" s="1161"/>
      <c r="P12" s="1157"/>
      <c r="Q12" s="1647" t="str">
        <f>E12</f>
        <v>JUNE</v>
      </c>
      <c r="R12" s="1157"/>
      <c r="S12" s="1163" t="str">
        <f>M12</f>
        <v>JUNE 30, 2026</v>
      </c>
    </row>
    <row r="13" spans="1:19">
      <c r="K13" s="1164"/>
      <c r="O13" s="1165"/>
    </row>
    <row r="14" spans="1:19">
      <c r="A14" s="261" t="s">
        <v>811</v>
      </c>
      <c r="K14" s="1164"/>
      <c r="O14" s="1165"/>
      <c r="Q14" s="260"/>
    </row>
    <row r="15" spans="1:19" ht="12" customHeight="1">
      <c r="A15" s="261"/>
      <c r="K15" s="1164"/>
      <c r="M15" s="342" t="s">
        <v>103</v>
      </c>
      <c r="O15" s="1165"/>
      <c r="Q15" s="260"/>
    </row>
    <row r="16" spans="1:19">
      <c r="A16" s="259" t="s">
        <v>812</v>
      </c>
      <c r="B16" s="260"/>
      <c r="C16" s="1166">
        <v>2588605</v>
      </c>
      <c r="D16" s="1166"/>
      <c r="E16" s="1166">
        <v>0</v>
      </c>
      <c r="F16" s="559"/>
      <c r="G16" s="1166">
        <v>0</v>
      </c>
      <c r="H16" s="1166"/>
      <c r="I16" s="1166">
        <v>0</v>
      </c>
      <c r="J16" s="559"/>
      <c r="K16" s="1166">
        <v>0</v>
      </c>
      <c r="L16" s="559" t="s">
        <v>103</v>
      </c>
      <c r="M16" s="1166">
        <f>ROUND(SUM(C16)-SUM(K16)+SUM(G16),0)</f>
        <v>2588605</v>
      </c>
      <c r="O16" s="1165"/>
      <c r="P16" s="260"/>
      <c r="Q16" s="1166">
        <v>0</v>
      </c>
      <c r="R16" s="559"/>
      <c r="S16" s="1166">
        <v>0</v>
      </c>
    </row>
    <row r="17" spans="1:19">
      <c r="E17" s="1672"/>
      <c r="F17" s="1671"/>
      <c r="G17" s="1672"/>
      <c r="I17" s="1672"/>
      <c r="K17" s="1672"/>
      <c r="O17" s="1165"/>
      <c r="Q17" s="1672"/>
      <c r="S17" s="1672"/>
    </row>
    <row r="18" spans="1:19">
      <c r="A18" s="259" t="s">
        <v>813</v>
      </c>
      <c r="E18" s="260"/>
      <c r="F18" s="1671"/>
      <c r="G18" s="260"/>
      <c r="J18" s="260"/>
      <c r="O18" s="1165"/>
      <c r="Q18" s="260"/>
      <c r="R18" s="260"/>
      <c r="S18" s="260"/>
    </row>
    <row r="19" spans="1:19" ht="12" customHeight="1">
      <c r="A19" s="259" t="s">
        <v>814</v>
      </c>
      <c r="C19" s="891">
        <v>715890</v>
      </c>
      <c r="D19" s="891"/>
      <c r="E19" s="891">
        <v>0</v>
      </c>
      <c r="F19" s="1673"/>
      <c r="G19" s="891">
        <v>0</v>
      </c>
      <c r="H19" s="891"/>
      <c r="I19" s="584">
        <v>0</v>
      </c>
      <c r="J19" s="891"/>
      <c r="K19" s="584">
        <v>0</v>
      </c>
      <c r="L19" s="1673" t="s">
        <v>103</v>
      </c>
      <c r="M19" s="891">
        <f>ROUND(SUM(C19)-SUM(K19)+SUM(G19),0)</f>
        <v>715890</v>
      </c>
      <c r="O19" s="1165"/>
      <c r="P19" s="259" t="s">
        <v>103</v>
      </c>
      <c r="Q19" s="584">
        <v>0</v>
      </c>
      <c r="R19" s="891"/>
      <c r="S19" s="584">
        <v>0</v>
      </c>
    </row>
    <row r="20" spans="1:19">
      <c r="A20" s="259" t="s">
        <v>815</v>
      </c>
      <c r="C20" s="891">
        <v>162925882</v>
      </c>
      <c r="D20" s="891"/>
      <c r="E20" s="891">
        <v>0</v>
      </c>
      <c r="F20" s="1673"/>
      <c r="G20" s="891">
        <v>0</v>
      </c>
      <c r="H20" s="891"/>
      <c r="I20" s="584">
        <v>0</v>
      </c>
      <c r="J20" s="891"/>
      <c r="K20" s="584">
        <v>1420000</v>
      </c>
      <c r="L20" s="1673" t="s">
        <v>103</v>
      </c>
      <c r="M20" s="891">
        <f>ROUND(SUM(C20)-SUM(K20)+SUM(G20),0)</f>
        <v>161505882</v>
      </c>
      <c r="O20" s="1165"/>
      <c r="Q20" s="584">
        <v>0</v>
      </c>
      <c r="R20" s="891"/>
      <c r="S20" s="584">
        <v>35500</v>
      </c>
    </row>
    <row r="21" spans="1:19">
      <c r="A21" s="259" t="s">
        <v>816</v>
      </c>
      <c r="C21" s="891">
        <v>3540490</v>
      </c>
      <c r="D21" s="891"/>
      <c r="E21" s="891">
        <v>0</v>
      </c>
      <c r="F21" s="1673"/>
      <c r="G21" s="891">
        <v>0</v>
      </c>
      <c r="H21" s="891"/>
      <c r="I21" s="584">
        <v>0</v>
      </c>
      <c r="J21" s="891"/>
      <c r="K21" s="584">
        <v>0</v>
      </c>
      <c r="L21" s="1673" t="s">
        <v>103</v>
      </c>
      <c r="M21" s="891">
        <f>ROUND(SUM(C21)-SUM(K21)+SUM(G21),0)</f>
        <v>3540490</v>
      </c>
      <c r="O21" s="1165"/>
      <c r="Q21" s="584">
        <v>0</v>
      </c>
      <c r="R21" s="891"/>
      <c r="S21" s="584">
        <v>0</v>
      </c>
    </row>
    <row r="22" spans="1:19">
      <c r="A22" s="259" t="s">
        <v>817</v>
      </c>
      <c r="C22" s="891">
        <v>20996417</v>
      </c>
      <c r="D22" s="891"/>
      <c r="E22" s="891">
        <v>0</v>
      </c>
      <c r="F22" s="1673"/>
      <c r="G22" s="891">
        <v>0</v>
      </c>
      <c r="H22" s="891"/>
      <c r="I22" s="584">
        <v>0</v>
      </c>
      <c r="J22" s="891"/>
      <c r="K22" s="584">
        <v>0</v>
      </c>
      <c r="L22" s="1673" t="s">
        <v>103</v>
      </c>
      <c r="M22" s="891">
        <f>ROUND(SUM(C22)-SUM(K22)+SUM(G22),0)</f>
        <v>20996417</v>
      </c>
      <c r="O22" s="1165"/>
      <c r="Q22" s="584">
        <v>0</v>
      </c>
      <c r="R22" s="891"/>
      <c r="S22" s="584">
        <v>0</v>
      </c>
    </row>
    <row r="23" spans="1:19">
      <c r="C23" s="891"/>
      <c r="D23" s="891"/>
      <c r="E23" s="891"/>
      <c r="F23" s="1673"/>
      <c r="G23" s="891"/>
      <c r="H23" s="891"/>
      <c r="I23" s="584"/>
      <c r="J23" s="891"/>
      <c r="K23" s="891" t="s">
        <v>103</v>
      </c>
      <c r="L23" s="1673"/>
      <c r="M23" s="891"/>
      <c r="O23" s="1165"/>
      <c r="Q23" s="584"/>
      <c r="R23" s="891"/>
      <c r="S23" s="891" t="s">
        <v>103</v>
      </c>
    </row>
    <row r="24" spans="1:19">
      <c r="A24" s="259" t="s">
        <v>818</v>
      </c>
      <c r="C24" s="891" t="s">
        <v>103</v>
      </c>
      <c r="D24" s="891"/>
      <c r="E24" s="891" t="s">
        <v>103</v>
      </c>
      <c r="F24" s="891"/>
      <c r="G24" s="891" t="s">
        <v>103</v>
      </c>
      <c r="H24" s="891"/>
      <c r="I24" s="584"/>
      <c r="J24" s="891"/>
      <c r="K24" s="891" t="s">
        <v>103</v>
      </c>
      <c r="L24" s="891"/>
      <c r="M24" s="891" t="s">
        <v>103</v>
      </c>
      <c r="N24" s="584"/>
      <c r="O24" s="1961"/>
      <c r="P24" s="584"/>
      <c r="Q24" s="584"/>
      <c r="R24" s="891"/>
      <c r="S24" s="891" t="s">
        <v>103</v>
      </c>
    </row>
    <row r="25" spans="1:19">
      <c r="A25" s="259" t="s">
        <v>819</v>
      </c>
      <c r="C25" s="891">
        <v>0</v>
      </c>
      <c r="D25" s="891"/>
      <c r="E25" s="891">
        <v>0</v>
      </c>
      <c r="F25" s="891"/>
      <c r="G25" s="891">
        <v>0</v>
      </c>
      <c r="H25" s="891"/>
      <c r="I25" s="584">
        <v>0</v>
      </c>
      <c r="J25" s="891"/>
      <c r="K25" s="584">
        <v>0</v>
      </c>
      <c r="L25" s="891"/>
      <c r="M25" s="891">
        <f>ROUND(SUM(C25)-SUM(K25)+SUM(G25),0)</f>
        <v>0</v>
      </c>
      <c r="N25" s="584"/>
      <c r="O25" s="1961"/>
      <c r="P25" s="584"/>
      <c r="Q25" s="584">
        <v>0</v>
      </c>
      <c r="R25" s="891"/>
      <c r="S25" s="584">
        <v>0</v>
      </c>
    </row>
    <row r="26" spans="1:19">
      <c r="A26" s="259" t="s">
        <v>820</v>
      </c>
      <c r="C26" s="891">
        <v>3280968</v>
      </c>
      <c r="D26" s="891"/>
      <c r="E26" s="891">
        <v>0</v>
      </c>
      <c r="F26" s="891"/>
      <c r="G26" s="891">
        <v>0</v>
      </c>
      <c r="H26" s="891"/>
      <c r="I26" s="584">
        <v>0</v>
      </c>
      <c r="J26" s="891"/>
      <c r="K26" s="584">
        <v>0</v>
      </c>
      <c r="L26" s="891"/>
      <c r="M26" s="891">
        <f>ROUND(SUM(C26)-SUM(K26)+SUM(G26),0)</f>
        <v>3280968</v>
      </c>
      <c r="N26" s="584"/>
      <c r="O26" s="1961"/>
      <c r="P26" s="584"/>
      <c r="Q26" s="584">
        <v>0</v>
      </c>
      <c r="R26" s="891"/>
      <c r="S26" s="584">
        <v>0</v>
      </c>
    </row>
    <row r="27" spans="1:19">
      <c r="A27" s="259" t="s">
        <v>821</v>
      </c>
      <c r="C27" s="891">
        <v>349156</v>
      </c>
      <c r="D27" s="891"/>
      <c r="E27" s="891">
        <v>0</v>
      </c>
      <c r="F27" s="891"/>
      <c r="G27" s="891">
        <v>0</v>
      </c>
      <c r="H27" s="891"/>
      <c r="I27" s="584">
        <v>0</v>
      </c>
      <c r="J27" s="891"/>
      <c r="K27" s="584">
        <v>0</v>
      </c>
      <c r="L27" s="891"/>
      <c r="M27" s="891">
        <f>ROUND(SUM(C27)-SUM(K27)+SUM(G27),0)</f>
        <v>349156</v>
      </c>
      <c r="N27" s="584"/>
      <c r="O27" s="1961"/>
      <c r="P27" s="584"/>
      <c r="Q27" s="584">
        <v>0</v>
      </c>
      <c r="R27" s="891"/>
      <c r="S27" s="584">
        <v>0</v>
      </c>
    </row>
    <row r="28" spans="1:19">
      <c r="A28" s="259" t="s">
        <v>822</v>
      </c>
      <c r="C28" s="891">
        <v>390901</v>
      </c>
      <c r="D28" s="891"/>
      <c r="E28" s="891">
        <v>0</v>
      </c>
      <c r="F28" s="891"/>
      <c r="G28" s="891">
        <v>0</v>
      </c>
      <c r="H28" s="891"/>
      <c r="I28" s="584">
        <v>0</v>
      </c>
      <c r="J28" s="891"/>
      <c r="K28" s="584">
        <v>0</v>
      </c>
      <c r="L28" s="891"/>
      <c r="M28" s="891">
        <f>ROUND(SUM(C28)-SUM(K28)+SUM(G28),0)</f>
        <v>390901</v>
      </c>
      <c r="N28" s="584"/>
      <c r="O28" s="1961"/>
      <c r="P28" s="584"/>
      <c r="Q28" s="584">
        <v>0</v>
      </c>
      <c r="R28" s="891"/>
      <c r="S28" s="584">
        <v>0</v>
      </c>
    </row>
    <row r="29" spans="1:19">
      <c r="A29" s="259" t="s">
        <v>823</v>
      </c>
      <c r="C29" s="891">
        <v>0</v>
      </c>
      <c r="D29" s="891"/>
      <c r="E29" s="891">
        <v>0</v>
      </c>
      <c r="F29" s="891"/>
      <c r="G29" s="891">
        <v>0</v>
      </c>
      <c r="H29" s="891"/>
      <c r="I29" s="584">
        <v>0</v>
      </c>
      <c r="J29" s="891"/>
      <c r="K29" s="584">
        <v>0</v>
      </c>
      <c r="L29" s="891"/>
      <c r="M29" s="891">
        <f>ROUND(SUM(C29)-SUM(K29)+SUM(G29),0)</f>
        <v>0</v>
      </c>
      <c r="N29" s="584"/>
      <c r="O29" s="1961"/>
      <c r="P29" s="584"/>
      <c r="Q29" s="584">
        <v>0</v>
      </c>
      <c r="R29" s="891"/>
      <c r="S29" s="584">
        <v>0</v>
      </c>
    </row>
    <row r="30" spans="1:19">
      <c r="C30" s="891"/>
      <c r="D30" s="891"/>
      <c r="E30" s="891"/>
      <c r="F30" s="1673"/>
      <c r="G30" s="891"/>
      <c r="H30" s="891"/>
      <c r="I30" s="584"/>
      <c r="J30" s="891"/>
      <c r="K30" s="891" t="s">
        <v>103</v>
      </c>
      <c r="L30" s="1673"/>
      <c r="M30" s="891"/>
      <c r="O30" s="1165"/>
      <c r="Q30" s="584"/>
      <c r="R30" s="891"/>
      <c r="S30" s="891" t="s">
        <v>103</v>
      </c>
    </row>
    <row r="31" spans="1:19">
      <c r="A31" s="259" t="s">
        <v>824</v>
      </c>
      <c r="C31" s="891"/>
      <c r="D31" s="891"/>
      <c r="E31" s="584"/>
      <c r="F31" s="342"/>
      <c r="G31" s="584"/>
      <c r="H31" s="584"/>
      <c r="I31" s="584"/>
      <c r="J31" s="584"/>
      <c r="K31" s="891" t="s">
        <v>103</v>
      </c>
      <c r="L31" s="342"/>
      <c r="M31" s="891" t="s">
        <v>103</v>
      </c>
      <c r="O31" s="1165"/>
      <c r="Q31" s="584"/>
      <c r="R31" s="584"/>
      <c r="S31" s="891" t="s">
        <v>103</v>
      </c>
    </row>
    <row r="32" spans="1:19">
      <c r="A32" s="259" t="s">
        <v>825</v>
      </c>
      <c r="C32" s="891">
        <v>248019</v>
      </c>
      <c r="D32" s="891"/>
      <c r="E32" s="891">
        <v>0</v>
      </c>
      <c r="F32" s="1673"/>
      <c r="G32" s="891">
        <v>0</v>
      </c>
      <c r="H32" s="891"/>
      <c r="I32" s="584">
        <v>0</v>
      </c>
      <c r="J32" s="891"/>
      <c r="K32" s="584">
        <v>0</v>
      </c>
      <c r="L32" s="1673"/>
      <c r="M32" s="891">
        <f>ROUND(SUM(C32)-SUM(K32)+SUM(G32),0)</f>
        <v>248019</v>
      </c>
      <c r="O32" s="1165"/>
      <c r="Q32" s="584">
        <v>0</v>
      </c>
      <c r="R32" s="891"/>
      <c r="S32" s="584">
        <v>0</v>
      </c>
    </row>
    <row r="33" spans="1:19">
      <c r="C33" s="891"/>
      <c r="D33" s="891"/>
      <c r="E33" s="584"/>
      <c r="F33" s="342"/>
      <c r="G33" s="584"/>
      <c r="H33" s="584"/>
      <c r="I33" s="584"/>
      <c r="J33" s="584"/>
      <c r="K33" s="891" t="s">
        <v>103</v>
      </c>
      <c r="L33" s="342"/>
      <c r="M33" s="891" t="s">
        <v>103</v>
      </c>
      <c r="O33" s="1165"/>
      <c r="Q33" s="584"/>
      <c r="R33" s="584"/>
      <c r="S33" s="891" t="s">
        <v>103</v>
      </c>
    </row>
    <row r="34" spans="1:19">
      <c r="A34" s="259" t="s">
        <v>826</v>
      </c>
      <c r="C34" s="891"/>
      <c r="D34" s="891"/>
      <c r="E34" s="584"/>
      <c r="F34" s="342"/>
      <c r="G34" s="584"/>
      <c r="H34" s="584"/>
      <c r="I34" s="584"/>
      <c r="J34" s="584"/>
      <c r="K34" s="891" t="s">
        <v>103</v>
      </c>
      <c r="L34" s="342"/>
      <c r="M34" s="891" t="s">
        <v>103</v>
      </c>
      <c r="O34" s="1165"/>
      <c r="Q34" s="584"/>
      <c r="R34" s="584"/>
      <c r="S34" s="891" t="s">
        <v>103</v>
      </c>
    </row>
    <row r="35" spans="1:19">
      <c r="A35" s="259" t="s">
        <v>827</v>
      </c>
      <c r="C35" s="891">
        <v>629830</v>
      </c>
      <c r="D35" s="891"/>
      <c r="E35" s="891">
        <v>0</v>
      </c>
      <c r="F35" s="1673"/>
      <c r="G35" s="891">
        <v>0</v>
      </c>
      <c r="H35" s="891"/>
      <c r="I35" s="584">
        <v>0</v>
      </c>
      <c r="J35" s="891"/>
      <c r="K35" s="584">
        <v>0</v>
      </c>
      <c r="L35" s="1673"/>
      <c r="M35" s="891">
        <f>ROUND(SUM(C35)-SUM(K35)+SUM(G35),0)</f>
        <v>629830</v>
      </c>
      <c r="O35" s="1165"/>
      <c r="Q35" s="584">
        <v>0</v>
      </c>
      <c r="R35" s="891"/>
      <c r="S35" s="584">
        <v>0</v>
      </c>
    </row>
    <row r="36" spans="1:19">
      <c r="A36" s="259" t="s">
        <v>828</v>
      </c>
      <c r="C36" s="891">
        <v>1025931</v>
      </c>
      <c r="D36" s="891"/>
      <c r="E36" s="891">
        <v>0</v>
      </c>
      <c r="F36" s="1673"/>
      <c r="G36" s="891">
        <v>0</v>
      </c>
      <c r="H36" s="891"/>
      <c r="I36" s="584">
        <v>0</v>
      </c>
      <c r="J36" s="891" t="s">
        <v>103</v>
      </c>
      <c r="K36" s="584">
        <v>0</v>
      </c>
      <c r="L36" s="1673"/>
      <c r="M36" s="891">
        <f>ROUND(SUM(C36)-SUM(K36)+SUM(G36),0)</f>
        <v>1025931</v>
      </c>
      <c r="O36" s="1165"/>
      <c r="Q36" s="584">
        <v>0</v>
      </c>
      <c r="R36" s="891" t="s">
        <v>103</v>
      </c>
      <c r="S36" s="584">
        <v>0</v>
      </c>
    </row>
    <row r="37" spans="1:19">
      <c r="A37" s="259" t="s">
        <v>829</v>
      </c>
      <c r="C37" s="891">
        <v>3588863</v>
      </c>
      <c r="D37" s="891"/>
      <c r="E37" s="891">
        <v>0</v>
      </c>
      <c r="F37" s="1673"/>
      <c r="G37" s="891">
        <v>0</v>
      </c>
      <c r="H37" s="891"/>
      <c r="I37" s="584">
        <v>0</v>
      </c>
      <c r="J37" s="891"/>
      <c r="K37" s="584">
        <v>0</v>
      </c>
      <c r="L37" s="1673"/>
      <c r="M37" s="891">
        <f>ROUND(SUM(C37)-SUM(K37)+SUM(G37),0)</f>
        <v>3588863</v>
      </c>
      <c r="O37" s="1165"/>
      <c r="Q37" s="584">
        <v>0</v>
      </c>
      <c r="R37" s="891"/>
      <c r="S37" s="584">
        <v>0</v>
      </c>
    </row>
    <row r="38" spans="1:19">
      <c r="C38" s="891"/>
      <c r="D38" s="891"/>
      <c r="E38" s="584"/>
      <c r="F38" s="342"/>
      <c r="G38" s="584"/>
      <c r="H38" s="584"/>
      <c r="I38" s="584"/>
      <c r="J38" s="584"/>
      <c r="K38" s="891" t="s">
        <v>103</v>
      </c>
      <c r="L38" s="342"/>
      <c r="M38" s="891" t="s">
        <v>103</v>
      </c>
      <c r="O38" s="1165"/>
      <c r="Q38" s="584"/>
      <c r="R38" s="584"/>
      <c r="S38" s="891" t="s">
        <v>103</v>
      </c>
    </row>
    <row r="39" spans="1:19">
      <c r="A39" s="259" t="s">
        <v>830</v>
      </c>
      <c r="C39" s="891"/>
      <c r="D39" s="891"/>
      <c r="E39" s="584"/>
      <c r="F39" s="342"/>
      <c r="G39" s="584"/>
      <c r="H39" s="584"/>
      <c r="I39" s="584"/>
      <c r="J39" s="584"/>
      <c r="K39" s="891" t="s">
        <v>103</v>
      </c>
      <c r="L39" s="342"/>
      <c r="M39" s="891" t="s">
        <v>103</v>
      </c>
      <c r="O39" s="1165"/>
      <c r="Q39" s="584"/>
      <c r="R39" s="584"/>
      <c r="S39" s="891" t="s">
        <v>103</v>
      </c>
    </row>
    <row r="40" spans="1:19">
      <c r="A40" s="259" t="s">
        <v>831</v>
      </c>
      <c r="C40" s="891">
        <v>900274</v>
      </c>
      <c r="D40" s="891"/>
      <c r="E40" s="891">
        <v>0</v>
      </c>
      <c r="F40" s="1673"/>
      <c r="G40" s="891">
        <v>0</v>
      </c>
      <c r="H40" s="891"/>
      <c r="I40" s="584">
        <v>0</v>
      </c>
      <c r="J40" s="891"/>
      <c r="K40" s="584">
        <v>0</v>
      </c>
      <c r="L40" s="1673" t="s">
        <v>103</v>
      </c>
      <c r="M40" s="891">
        <f>ROUND(SUM(C40)-SUM(K40)+SUM(G40),0)</f>
        <v>900274</v>
      </c>
      <c r="O40" s="1165"/>
      <c r="Q40" s="584">
        <v>0</v>
      </c>
      <c r="R40" s="891"/>
      <c r="S40" s="584">
        <v>0</v>
      </c>
    </row>
    <row r="41" spans="1:19">
      <c r="A41" s="259" t="s">
        <v>832</v>
      </c>
      <c r="C41" s="891">
        <v>24881393</v>
      </c>
      <c r="D41" s="891"/>
      <c r="E41" s="891">
        <v>0</v>
      </c>
      <c r="F41" s="1673"/>
      <c r="G41" s="891">
        <v>0</v>
      </c>
      <c r="H41" s="891"/>
      <c r="I41" s="584">
        <v>0</v>
      </c>
      <c r="J41" s="891"/>
      <c r="K41" s="584">
        <v>0</v>
      </c>
      <c r="L41" s="1673"/>
      <c r="M41" s="891">
        <f>ROUND(SUM(C41)-SUM(K41)+SUM(G41),0)</f>
        <v>24881393</v>
      </c>
      <c r="O41" s="1165"/>
      <c r="Q41" s="584">
        <v>0</v>
      </c>
      <c r="R41" s="891"/>
      <c r="S41" s="584">
        <v>0</v>
      </c>
    </row>
    <row r="42" spans="1:19">
      <c r="C42" s="891"/>
      <c r="D42" s="891"/>
      <c r="E42" s="584"/>
      <c r="F42" s="342"/>
      <c r="G42" s="584"/>
      <c r="H42" s="584"/>
      <c r="I42" s="584"/>
      <c r="J42" s="584"/>
      <c r="K42" s="891" t="s">
        <v>103</v>
      </c>
      <c r="L42" s="342"/>
      <c r="M42" s="891" t="s">
        <v>103</v>
      </c>
      <c r="O42" s="1165"/>
      <c r="Q42" s="584"/>
      <c r="R42" s="584"/>
      <c r="S42" s="891" t="s">
        <v>103</v>
      </c>
    </row>
    <row r="43" spans="1:19">
      <c r="A43" s="259" t="s">
        <v>833</v>
      </c>
      <c r="C43" s="891"/>
      <c r="D43" s="891"/>
      <c r="E43" s="584"/>
      <c r="F43" s="342"/>
      <c r="G43" s="584"/>
      <c r="H43" s="584"/>
      <c r="I43" s="584"/>
      <c r="J43" s="584"/>
      <c r="K43" s="891" t="s">
        <v>103</v>
      </c>
      <c r="L43" s="342"/>
      <c r="M43" s="891" t="s">
        <v>103</v>
      </c>
      <c r="O43" s="1165"/>
      <c r="Q43" s="584"/>
      <c r="R43" s="584"/>
      <c r="S43" s="891" t="s">
        <v>103</v>
      </c>
    </row>
    <row r="44" spans="1:19">
      <c r="A44" s="259" t="s">
        <v>834</v>
      </c>
      <c r="C44" s="891">
        <v>0</v>
      </c>
      <c r="D44" s="891"/>
      <c r="E44" s="891">
        <v>0</v>
      </c>
      <c r="F44" s="1673"/>
      <c r="G44" s="891">
        <v>0</v>
      </c>
      <c r="H44" s="891"/>
      <c r="I44" s="584">
        <v>0</v>
      </c>
      <c r="J44" s="891"/>
      <c r="K44" s="584">
        <v>0</v>
      </c>
      <c r="L44" s="1673"/>
      <c r="M44" s="891">
        <f>ROUND(SUM(C44)-SUM(K44)+SUM(G44),0)</f>
        <v>0</v>
      </c>
      <c r="O44" s="1165"/>
      <c r="Q44" s="584">
        <v>0</v>
      </c>
      <c r="R44" s="891"/>
      <c r="S44" s="584">
        <v>0</v>
      </c>
    </row>
    <row r="45" spans="1:19">
      <c r="A45" s="259" t="s">
        <v>835</v>
      </c>
      <c r="C45" s="891">
        <v>0</v>
      </c>
      <c r="D45" s="891"/>
      <c r="E45" s="891">
        <v>0</v>
      </c>
      <c r="F45" s="1673"/>
      <c r="G45" s="891">
        <v>0</v>
      </c>
      <c r="H45" s="891"/>
      <c r="I45" s="584">
        <v>0</v>
      </c>
      <c r="J45" s="891"/>
      <c r="K45" s="584">
        <v>0</v>
      </c>
      <c r="L45" s="1673"/>
      <c r="M45" s="891">
        <f>ROUND(SUM(C45)-SUM(K45)+SUM(G45),0)</f>
        <v>0</v>
      </c>
      <c r="O45" s="1165"/>
      <c r="Q45" s="584">
        <v>0</v>
      </c>
      <c r="R45" s="891"/>
      <c r="S45" s="584">
        <v>0</v>
      </c>
    </row>
    <row r="46" spans="1:19">
      <c r="C46" s="891"/>
      <c r="D46" s="891"/>
      <c r="E46" s="584"/>
      <c r="F46" s="342"/>
      <c r="G46" s="584"/>
      <c r="H46" s="584"/>
      <c r="I46" s="584"/>
      <c r="J46" s="584"/>
      <c r="K46" s="891" t="s">
        <v>103</v>
      </c>
      <c r="L46" s="342"/>
      <c r="M46" s="891" t="s">
        <v>103</v>
      </c>
      <c r="O46" s="1165"/>
      <c r="Q46" s="584"/>
      <c r="R46" s="584"/>
      <c r="S46" s="891" t="s">
        <v>103</v>
      </c>
    </row>
    <row r="47" spans="1:19">
      <c r="A47" s="259" t="s">
        <v>836</v>
      </c>
      <c r="C47" s="891">
        <v>0</v>
      </c>
      <c r="D47" s="891"/>
      <c r="E47" s="891">
        <v>0</v>
      </c>
      <c r="F47" s="1673"/>
      <c r="G47" s="891">
        <v>0</v>
      </c>
      <c r="H47" s="891"/>
      <c r="I47" s="584">
        <v>0</v>
      </c>
      <c r="J47" s="891"/>
      <c r="K47" s="584">
        <v>0</v>
      </c>
      <c r="L47" s="1673"/>
      <c r="M47" s="891">
        <f>ROUND(SUM(C47)-SUM(K47)+SUM(G47),0)</f>
        <v>0</v>
      </c>
      <c r="O47" s="1165"/>
      <c r="Q47" s="584">
        <v>0</v>
      </c>
      <c r="R47" s="891"/>
      <c r="S47" s="584">
        <v>0</v>
      </c>
    </row>
    <row r="48" spans="1:19">
      <c r="C48" s="891"/>
      <c r="D48" s="891"/>
      <c r="E48" s="891"/>
      <c r="F48" s="1673"/>
      <c r="G48" s="891"/>
      <c r="H48" s="891"/>
      <c r="I48" s="584"/>
      <c r="J48" s="891"/>
      <c r="K48" s="891" t="s">
        <v>103</v>
      </c>
      <c r="L48" s="1673"/>
      <c r="M48" s="891" t="s">
        <v>103</v>
      </c>
      <c r="O48" s="1165"/>
      <c r="Q48" s="584"/>
      <c r="R48" s="891"/>
      <c r="S48" s="891" t="s">
        <v>103</v>
      </c>
    </row>
    <row r="49" spans="1:19">
      <c r="A49" s="259" t="s">
        <v>837</v>
      </c>
      <c r="C49" s="891">
        <v>13745254</v>
      </c>
      <c r="D49" s="891"/>
      <c r="E49" s="891">
        <v>0</v>
      </c>
      <c r="F49" s="1673"/>
      <c r="G49" s="891">
        <v>0</v>
      </c>
      <c r="H49" s="891"/>
      <c r="I49" s="584">
        <v>0</v>
      </c>
      <c r="J49" s="891"/>
      <c r="K49" s="584">
        <v>0</v>
      </c>
      <c r="L49" s="1673"/>
      <c r="M49" s="891">
        <f>ROUND(SUM(C49)-SUM(K49)+SUM(G49),0)</f>
        <v>13745254</v>
      </c>
      <c r="O49" s="1165"/>
      <c r="Q49" s="584">
        <v>0</v>
      </c>
      <c r="R49" s="891"/>
      <c r="S49" s="584">
        <v>37625</v>
      </c>
    </row>
    <row r="50" spans="1:19">
      <c r="C50" s="891"/>
      <c r="D50" s="891"/>
      <c r="E50" s="891"/>
      <c r="F50" s="1673"/>
      <c r="G50" s="891"/>
      <c r="H50" s="891"/>
      <c r="I50" s="584"/>
      <c r="J50" s="891"/>
      <c r="K50" s="891" t="s">
        <v>103</v>
      </c>
      <c r="L50" s="1673"/>
      <c r="M50" s="891" t="s">
        <v>103</v>
      </c>
      <c r="O50" s="1165"/>
      <c r="Q50" s="584"/>
      <c r="R50" s="891"/>
      <c r="S50" s="891" t="s">
        <v>103</v>
      </c>
    </row>
    <row r="51" spans="1:19">
      <c r="A51" s="259" t="s">
        <v>838</v>
      </c>
      <c r="C51" s="891">
        <v>0</v>
      </c>
      <c r="D51" s="891"/>
      <c r="E51" s="891">
        <v>0</v>
      </c>
      <c r="F51" s="1673"/>
      <c r="G51" s="891">
        <v>0</v>
      </c>
      <c r="H51" s="891"/>
      <c r="I51" s="584">
        <v>0</v>
      </c>
      <c r="J51" s="891"/>
      <c r="K51" s="584">
        <v>0</v>
      </c>
      <c r="L51" s="1673"/>
      <c r="M51" s="891">
        <f>ROUND(SUM(C51)-SUM(K51)+SUM(G51),0)</f>
        <v>0</v>
      </c>
      <c r="O51" s="1165"/>
      <c r="Q51" s="584">
        <v>0</v>
      </c>
      <c r="R51" s="891"/>
      <c r="S51" s="584">
        <v>0</v>
      </c>
    </row>
    <row r="52" spans="1:19">
      <c r="C52" s="891"/>
      <c r="D52" s="891"/>
      <c r="E52" s="891"/>
      <c r="F52" s="1673"/>
      <c r="G52" s="891"/>
      <c r="H52" s="891"/>
      <c r="I52" s="584"/>
      <c r="J52" s="891"/>
      <c r="K52" s="891" t="s">
        <v>103</v>
      </c>
      <c r="L52" s="1673"/>
      <c r="M52" s="891" t="s">
        <v>103</v>
      </c>
      <c r="O52" s="1165"/>
      <c r="Q52" s="584"/>
      <c r="R52" s="891"/>
      <c r="S52" s="891" t="s">
        <v>103</v>
      </c>
    </row>
    <row r="53" spans="1:19">
      <c r="A53" s="259" t="s">
        <v>839</v>
      </c>
      <c r="C53" s="891"/>
      <c r="D53" s="891"/>
      <c r="E53" s="1167"/>
      <c r="F53" s="1674"/>
      <c r="G53" s="1167"/>
      <c r="H53" s="1167"/>
      <c r="I53" s="584"/>
      <c r="J53" s="1167"/>
      <c r="K53" s="891" t="s">
        <v>103</v>
      </c>
      <c r="L53" s="1674"/>
      <c r="M53" s="891" t="s">
        <v>103</v>
      </c>
      <c r="O53" s="1165"/>
      <c r="Q53" s="584"/>
      <c r="R53" s="1167"/>
      <c r="S53" s="891" t="s">
        <v>103</v>
      </c>
    </row>
    <row r="54" spans="1:19">
      <c r="A54" s="259" t="s">
        <v>840</v>
      </c>
      <c r="C54" s="891">
        <v>297580623</v>
      </c>
      <c r="D54" s="891"/>
      <c r="E54" s="891">
        <v>0</v>
      </c>
      <c r="F54" s="1674"/>
      <c r="G54" s="891">
        <v>0</v>
      </c>
      <c r="H54" s="1167"/>
      <c r="I54" s="584">
        <v>0</v>
      </c>
      <c r="J54" s="1167"/>
      <c r="K54" s="584">
        <v>0</v>
      </c>
      <c r="L54" s="1674" t="s">
        <v>103</v>
      </c>
      <c r="M54" s="891">
        <f t="shared" ref="M54:M59" si="0">ROUND(SUM(C54)-SUM(K54)+SUM(G54),0)</f>
        <v>297580623</v>
      </c>
      <c r="O54" s="1165"/>
      <c r="Q54" s="584">
        <v>0</v>
      </c>
      <c r="R54" s="1167"/>
      <c r="S54" s="584">
        <v>0</v>
      </c>
    </row>
    <row r="55" spans="1:19">
      <c r="A55" s="259" t="s">
        <v>841</v>
      </c>
      <c r="C55" s="891">
        <v>1215362</v>
      </c>
      <c r="D55" s="891"/>
      <c r="E55" s="891">
        <v>0</v>
      </c>
      <c r="F55" s="1674"/>
      <c r="G55" s="891">
        <v>0</v>
      </c>
      <c r="H55" s="1167"/>
      <c r="I55" s="584">
        <v>0</v>
      </c>
      <c r="J55" s="1167" t="s">
        <v>103</v>
      </c>
      <c r="K55" s="584">
        <v>0</v>
      </c>
      <c r="L55" s="1674"/>
      <c r="M55" s="891">
        <f t="shared" si="0"/>
        <v>1215362</v>
      </c>
      <c r="O55" s="1165"/>
      <c r="Q55" s="584">
        <v>0</v>
      </c>
      <c r="R55" s="1167" t="s">
        <v>103</v>
      </c>
      <c r="S55" s="584">
        <v>0</v>
      </c>
    </row>
    <row r="56" spans="1:19">
      <c r="A56" s="259" t="s">
        <v>842</v>
      </c>
      <c r="C56" s="891">
        <v>31147290</v>
      </c>
      <c r="D56" s="891"/>
      <c r="E56" s="891">
        <v>0</v>
      </c>
      <c r="F56" s="1674"/>
      <c r="G56" s="891">
        <v>0</v>
      </c>
      <c r="H56" s="1167"/>
      <c r="I56" s="584">
        <v>0</v>
      </c>
      <c r="J56" s="1167"/>
      <c r="K56" s="584">
        <v>0</v>
      </c>
      <c r="L56" s="1674"/>
      <c r="M56" s="891">
        <f t="shared" si="0"/>
        <v>31147290</v>
      </c>
      <c r="O56" s="1165"/>
      <c r="Q56" s="584">
        <v>0</v>
      </c>
      <c r="R56" s="1167"/>
      <c r="S56" s="584">
        <v>0</v>
      </c>
    </row>
    <row r="57" spans="1:19">
      <c r="A57" s="259" t="s">
        <v>843</v>
      </c>
      <c r="C57" s="891">
        <v>58504297</v>
      </c>
      <c r="D57" s="891"/>
      <c r="E57" s="891">
        <v>0</v>
      </c>
      <c r="F57" s="1674"/>
      <c r="G57" s="891">
        <v>0</v>
      </c>
      <c r="H57" s="1167"/>
      <c r="I57" s="584">
        <v>0</v>
      </c>
      <c r="J57" s="1167"/>
      <c r="K57" s="584">
        <v>0</v>
      </c>
      <c r="L57" s="1674"/>
      <c r="M57" s="891">
        <f t="shared" si="0"/>
        <v>58504297</v>
      </c>
      <c r="O57" s="1165"/>
      <c r="Q57" s="584">
        <v>0</v>
      </c>
      <c r="R57" s="1167"/>
      <c r="S57" s="584">
        <v>0</v>
      </c>
    </row>
    <row r="58" spans="1:19">
      <c r="A58" s="259" t="s">
        <v>844</v>
      </c>
      <c r="C58" s="891">
        <v>4887044</v>
      </c>
      <c r="D58" s="891"/>
      <c r="E58" s="891">
        <v>0</v>
      </c>
      <c r="F58" s="1674"/>
      <c r="G58" s="891">
        <v>0</v>
      </c>
      <c r="H58" s="1167"/>
      <c r="I58" s="584">
        <v>0</v>
      </c>
      <c r="J58" s="1167"/>
      <c r="K58" s="584">
        <v>0</v>
      </c>
      <c r="L58" s="1674"/>
      <c r="M58" s="891">
        <f t="shared" si="0"/>
        <v>4887044</v>
      </c>
      <c r="O58" s="1165"/>
      <c r="Q58" s="584">
        <v>0</v>
      </c>
      <c r="R58" s="1167"/>
      <c r="S58" s="584">
        <v>0</v>
      </c>
    </row>
    <row r="59" spans="1:19">
      <c r="A59" s="259" t="s">
        <v>845</v>
      </c>
      <c r="C59" s="891">
        <v>768138160</v>
      </c>
      <c r="D59" s="891"/>
      <c r="E59" s="891">
        <v>0</v>
      </c>
      <c r="F59" s="1673"/>
      <c r="G59" s="891">
        <v>0</v>
      </c>
      <c r="H59" s="891"/>
      <c r="I59" s="584">
        <v>0</v>
      </c>
      <c r="J59" s="891" t="s">
        <v>103</v>
      </c>
      <c r="K59" s="584">
        <v>0</v>
      </c>
      <c r="L59" s="1673"/>
      <c r="M59" s="891">
        <f t="shared" si="0"/>
        <v>768138160</v>
      </c>
      <c r="O59" s="1165"/>
      <c r="Q59" s="584">
        <v>0</v>
      </c>
      <c r="R59" s="891" t="s">
        <v>103</v>
      </c>
      <c r="S59" s="584">
        <v>0</v>
      </c>
    </row>
    <row r="60" spans="1:19">
      <c r="C60" s="891"/>
      <c r="D60" s="891"/>
      <c r="E60" s="891"/>
      <c r="F60" s="1673"/>
      <c r="G60" s="891"/>
      <c r="H60" s="891"/>
      <c r="I60" s="584"/>
      <c r="J60" s="891"/>
      <c r="K60" s="891" t="s">
        <v>103</v>
      </c>
      <c r="L60" s="1673"/>
      <c r="M60" s="891" t="s">
        <v>103</v>
      </c>
      <c r="O60" s="1165"/>
      <c r="Q60" s="584"/>
      <c r="R60" s="891"/>
      <c r="S60" s="891" t="s">
        <v>103</v>
      </c>
    </row>
    <row r="61" spans="1:19">
      <c r="A61" s="259" t="s">
        <v>846</v>
      </c>
      <c r="C61" s="891"/>
      <c r="D61" s="891"/>
      <c r="E61" s="891"/>
      <c r="F61" s="1673"/>
      <c r="G61" s="891"/>
      <c r="H61" s="891"/>
      <c r="I61" s="584" t="s">
        <v>103</v>
      </c>
      <c r="J61" s="891"/>
      <c r="K61" s="891" t="s">
        <v>103</v>
      </c>
      <c r="L61" s="1673"/>
      <c r="M61" s="891" t="s">
        <v>103</v>
      </c>
      <c r="O61" s="1165"/>
      <c r="Q61" s="584"/>
      <c r="R61" s="891"/>
      <c r="S61" s="891" t="s">
        <v>103</v>
      </c>
    </row>
    <row r="62" spans="1:19">
      <c r="A62" s="259" t="s">
        <v>847</v>
      </c>
      <c r="C62" s="891">
        <v>0</v>
      </c>
      <c r="D62" s="891"/>
      <c r="E62" s="891">
        <v>0</v>
      </c>
      <c r="F62" s="1673"/>
      <c r="G62" s="891">
        <v>0</v>
      </c>
      <c r="H62" s="891"/>
      <c r="I62" s="584">
        <v>0</v>
      </c>
      <c r="J62" s="891"/>
      <c r="K62" s="584">
        <v>0</v>
      </c>
      <c r="L62" s="1673"/>
      <c r="M62" s="891">
        <f>ROUND(SUM(C62)-SUM(K62)+SUM(G62),0)</f>
        <v>0</v>
      </c>
      <c r="O62" s="1165"/>
      <c r="Q62" s="584">
        <v>0</v>
      </c>
      <c r="R62" s="891"/>
      <c r="S62" s="584">
        <v>0</v>
      </c>
    </row>
    <row r="63" spans="1:19">
      <c r="A63" s="375" t="s">
        <v>848</v>
      </c>
      <c r="C63" s="891">
        <v>0</v>
      </c>
      <c r="D63" s="891"/>
      <c r="E63" s="891">
        <v>0</v>
      </c>
      <c r="F63" s="1673"/>
      <c r="G63" s="891">
        <v>0</v>
      </c>
      <c r="H63" s="891"/>
      <c r="I63" s="584">
        <v>0</v>
      </c>
      <c r="J63" s="891"/>
      <c r="K63" s="584">
        <v>0</v>
      </c>
      <c r="L63" s="1673"/>
      <c r="M63" s="891">
        <f>ROUND(SUM(C63)-SUM(K63)+SUM(G63),0)</f>
        <v>0</v>
      </c>
      <c r="O63" s="1165"/>
      <c r="Q63" s="584">
        <v>0</v>
      </c>
      <c r="R63" s="891"/>
      <c r="S63" s="584">
        <v>0</v>
      </c>
    </row>
    <row r="64" spans="1:19" ht="13.5" customHeight="1">
      <c r="C64" s="891"/>
      <c r="D64" s="891"/>
      <c r="E64" s="891"/>
      <c r="F64" s="1673"/>
      <c r="G64" s="891"/>
      <c r="H64" s="891"/>
      <c r="I64" s="584" t="s">
        <v>103</v>
      </c>
      <c r="J64" s="891"/>
      <c r="K64" s="891" t="s">
        <v>103</v>
      </c>
      <c r="L64" s="1673"/>
      <c r="M64" s="891" t="s">
        <v>103</v>
      </c>
      <c r="O64" s="1165"/>
      <c r="Q64" s="584"/>
      <c r="R64" s="891"/>
      <c r="S64" s="891" t="s">
        <v>103</v>
      </c>
    </row>
    <row r="65" spans="1:19">
      <c r="A65" s="259" t="s">
        <v>849</v>
      </c>
      <c r="C65" s="891">
        <v>648074351</v>
      </c>
      <c r="D65" s="891"/>
      <c r="E65" s="891">
        <v>0</v>
      </c>
      <c r="F65" s="1673"/>
      <c r="G65" s="891">
        <v>0</v>
      </c>
      <c r="H65" s="891"/>
      <c r="I65" s="584">
        <v>0</v>
      </c>
      <c r="J65" s="891"/>
      <c r="K65" s="584">
        <v>0</v>
      </c>
      <c r="L65" s="1673"/>
      <c r="M65" s="891">
        <f>ROUND(SUM(C65)-SUM(K65)+SUM(G65),0)</f>
        <v>648074351</v>
      </c>
      <c r="O65" s="1165"/>
      <c r="Q65" s="584">
        <v>0</v>
      </c>
      <c r="R65" s="891"/>
      <c r="S65" s="584">
        <v>0</v>
      </c>
    </row>
    <row r="66" spans="1:19" ht="13.5" customHeight="1">
      <c r="C66" s="891"/>
      <c r="D66" s="891"/>
      <c r="E66" s="891"/>
      <c r="F66" s="1673"/>
      <c r="G66" s="891"/>
      <c r="H66" s="891"/>
      <c r="I66" s="584"/>
      <c r="J66" s="891"/>
      <c r="K66" s="891" t="s">
        <v>103</v>
      </c>
      <c r="L66" s="1673"/>
      <c r="M66" s="891" t="s">
        <v>103</v>
      </c>
      <c r="O66" s="1165"/>
      <c r="Q66" s="584"/>
      <c r="R66" s="891"/>
      <c r="S66" s="891" t="s">
        <v>103</v>
      </c>
    </row>
    <row r="67" spans="1:19" ht="15" customHeight="1" thickBot="1">
      <c r="A67" s="261" t="s">
        <v>850</v>
      </c>
      <c r="B67" s="568"/>
      <c r="C67" s="892">
        <f>ROUND(SUM(C16:C66),2)</f>
        <v>2049355000</v>
      </c>
      <c r="D67" s="1272" t="s">
        <v>103</v>
      </c>
      <c r="E67" s="892">
        <f>ROUND(SUM(E16:E66),2)</f>
        <v>0</v>
      </c>
      <c r="F67" s="1675"/>
      <c r="G67" s="892">
        <f>ROUND(SUM(G16:G66),2)</f>
        <v>0</v>
      </c>
      <c r="H67" s="568"/>
      <c r="I67" s="892">
        <f>ROUND(SUM(I16:I66),2)</f>
        <v>0</v>
      </c>
      <c r="J67" s="568"/>
      <c r="K67" s="892">
        <f>ROUND(SUM(K16:K66),0)</f>
        <v>1420000</v>
      </c>
      <c r="L67" s="568"/>
      <c r="M67" s="892">
        <f>ROUND(SUM(M16:M66),2)</f>
        <v>2047935000</v>
      </c>
      <c r="N67" s="261"/>
      <c r="O67" s="1676"/>
      <c r="P67" s="568"/>
      <c r="Q67" s="892">
        <f>ROUND(SUM(Q16:Q66),2)</f>
        <v>0</v>
      </c>
      <c r="R67" s="568"/>
      <c r="S67" s="892">
        <f>ROUND(SUM(S16:S66),0)</f>
        <v>73125</v>
      </c>
    </row>
    <row r="68" spans="1:19" ht="15" customHeight="1" thickTop="1">
      <c r="A68" s="569"/>
      <c r="B68" s="570"/>
      <c r="C68" s="358"/>
      <c r="D68" s="358"/>
      <c r="E68" s="1678"/>
      <c r="F68" s="1677"/>
      <c r="G68" s="1678"/>
      <c r="H68" s="570"/>
      <c r="I68" s="1677"/>
      <c r="J68" s="570"/>
      <c r="K68" s="1679"/>
      <c r="L68" s="570"/>
      <c r="M68" s="358"/>
      <c r="N68" s="261"/>
      <c r="O68" s="261"/>
      <c r="P68" s="570"/>
      <c r="Q68" s="1680"/>
      <c r="R68" s="570"/>
      <c r="S68" s="1677"/>
    </row>
    <row r="69" spans="1:19">
      <c r="A69" s="941"/>
      <c r="E69" s="342"/>
      <c r="G69" s="342"/>
      <c r="I69" s="259"/>
      <c r="K69" s="1166" t="s">
        <v>103</v>
      </c>
      <c r="P69" s="306"/>
    </row>
    <row r="70" spans="1:19">
      <c r="A70" s="306"/>
      <c r="G70" s="342"/>
      <c r="H70" s="1681"/>
      <c r="I70" s="584"/>
      <c r="J70" s="1681"/>
      <c r="K70" s="1166"/>
      <c r="L70" s="305"/>
      <c r="P70" s="305"/>
      <c r="Q70" s="559"/>
      <c r="R70" s="1671"/>
      <c r="S70" s="559"/>
    </row>
    <row r="71" spans="1:19">
      <c r="A71" s="263"/>
      <c r="C71" s="342" t="s">
        <v>103</v>
      </c>
      <c r="E71" s="1682"/>
      <c r="G71" s="1168"/>
      <c r="I71" s="584"/>
      <c r="K71" s="1672" t="s">
        <v>103</v>
      </c>
      <c r="Q71" s="1671"/>
      <c r="S71" s="1671"/>
    </row>
    <row r="72" spans="1:19">
      <c r="C72" s="342" t="s">
        <v>103</v>
      </c>
      <c r="I72" s="584"/>
      <c r="K72" s="1683"/>
      <c r="Q72" s="306"/>
    </row>
    <row r="73" spans="1:19">
      <c r="E73" s="1684"/>
      <c r="F73" s="1671"/>
      <c r="G73" s="1684"/>
      <c r="I73" s="584"/>
      <c r="K73" s="1672" t="s">
        <v>103</v>
      </c>
      <c r="M73" s="1685"/>
      <c r="Q73" s="1686"/>
      <c r="S73" s="1671"/>
    </row>
    <row r="74" spans="1:19">
      <c r="C74" s="342" t="s">
        <v>103</v>
      </c>
      <c r="E74" s="1684"/>
      <c r="F74" s="1671"/>
      <c r="G74" s="305"/>
      <c r="I74" s="584"/>
      <c r="K74" s="1672"/>
      <c r="M74" s="1687"/>
      <c r="Q74" s="305"/>
      <c r="S74" s="1671"/>
    </row>
    <row r="75" spans="1:19">
      <c r="E75" s="1684"/>
      <c r="F75" s="1671"/>
      <c r="G75" s="1671"/>
      <c r="I75" s="1672"/>
      <c r="K75" s="1672"/>
      <c r="Q75" s="1688"/>
      <c r="S75" s="1671"/>
    </row>
    <row r="76" spans="1:19">
      <c r="E76" s="1684"/>
      <c r="F76" s="1671"/>
      <c r="G76" s="1684"/>
      <c r="I76" s="1672"/>
      <c r="K76" s="1672"/>
      <c r="M76" s="1685"/>
      <c r="Q76" s="1686"/>
      <c r="S76" s="1671"/>
    </row>
    <row r="77" spans="1:19">
      <c r="E77" s="1684"/>
      <c r="F77" s="1671"/>
      <c r="G77" s="1684"/>
      <c r="I77" s="1672"/>
      <c r="K77" s="1672"/>
      <c r="M77" s="1685"/>
      <c r="Q77" s="1686"/>
      <c r="S77" s="1671"/>
    </row>
    <row r="78" spans="1:19">
      <c r="E78" s="1684"/>
      <c r="F78" s="1671"/>
      <c r="G78" s="305"/>
      <c r="I78" s="1672"/>
      <c r="K78" s="1672"/>
      <c r="M78" s="1687"/>
      <c r="Q78" s="305"/>
      <c r="S78" s="1671"/>
    </row>
    <row r="79" spans="1:19">
      <c r="E79" s="1684"/>
      <c r="F79" s="1671"/>
      <c r="G79" s="1671"/>
      <c r="I79" s="1672"/>
      <c r="K79" s="1672"/>
      <c r="Q79" s="1688"/>
      <c r="S79" s="1671"/>
    </row>
    <row r="80" spans="1:19">
      <c r="E80" s="1684"/>
      <c r="F80" s="1671"/>
      <c r="G80" s="1684"/>
      <c r="I80" s="1672"/>
      <c r="K80" s="1672"/>
      <c r="M80" s="1685"/>
      <c r="Q80" s="1686"/>
      <c r="S80" s="1671"/>
    </row>
    <row r="81" spans="1:19">
      <c r="C81" s="358"/>
      <c r="D81" s="358"/>
      <c r="E81" s="1678"/>
      <c r="F81" s="262"/>
      <c r="G81" s="1678"/>
      <c r="H81" s="261"/>
      <c r="I81" s="1689"/>
      <c r="J81" s="261"/>
      <c r="K81" s="1689"/>
      <c r="L81" s="261"/>
      <c r="M81" s="1690"/>
      <c r="N81" s="261"/>
      <c r="O81" s="261"/>
      <c r="P81" s="261"/>
      <c r="Q81" s="1678"/>
      <c r="R81" s="261"/>
      <c r="S81" s="262"/>
    </row>
    <row r="82" spans="1:19">
      <c r="A82" s="261"/>
      <c r="C82" s="358"/>
      <c r="D82" s="358"/>
      <c r="E82" s="262"/>
      <c r="F82" s="262"/>
      <c r="G82" s="262"/>
      <c r="H82" s="261"/>
      <c r="I82" s="1689"/>
      <c r="J82" s="261"/>
      <c r="K82" s="1689"/>
      <c r="L82" s="261"/>
      <c r="M82" s="358"/>
      <c r="N82" s="261"/>
      <c r="O82" s="261"/>
      <c r="P82" s="261"/>
      <c r="Q82" s="262"/>
      <c r="R82" s="261"/>
      <c r="S82" s="262"/>
    </row>
    <row r="83" spans="1:19">
      <c r="A83" s="261"/>
    </row>
    <row r="84" spans="1:19">
      <c r="C84" s="894"/>
      <c r="D84" s="894"/>
      <c r="F84" s="306"/>
    </row>
    <row r="85" spans="1:19">
      <c r="C85" s="895"/>
      <c r="D85" s="895"/>
      <c r="F85" s="263"/>
    </row>
    <row r="86" spans="1:19">
      <c r="E86" s="1169"/>
      <c r="G86" s="1170"/>
    </row>
    <row r="87" spans="1:19">
      <c r="E87" s="1171"/>
      <c r="G87" s="1168"/>
    </row>
  </sheetData>
  <customSheetViews>
    <customSheetView guid="{83D69B98-1714-4D17-901F-87B47BE66947}" showPageBreaks="1" showGridLines="0" fitToPage="1" printArea="1">
      <selection activeCell="Q16" sqref="Q16"/>
      <rowBreaks count="1" manualBreakCount="1">
        <brk id="2" max="21" man="1"/>
      </rowBreaks>
      <pageMargins left="0.5" right="0.5" top="0.5" bottom="0.25" header="0.3" footer="0.3"/>
      <printOptions horizontalCentered="1"/>
      <pageSetup scale="10" firstPageNumber="44" orientation="landscape" useFirstPageNumber="1" r:id="rId1"/>
      <headerFooter scaleWithDoc="0" alignWithMargins="0">
        <oddFooter>&amp;C&amp;8&amp;P</oddFooter>
      </headerFooter>
    </customSheetView>
    <customSheetView guid="{F9AE1502-86F7-4AAA-AE66-F6A75A634C1B}" showPageBreaks="1" showGridLines="0" fitToPage="1" printArea="1" topLeftCell="A42">
      <selection activeCell="C17" sqref="C17"/>
      <rowBreaks count="1" manualBreakCount="1">
        <brk id="2" max="21" man="1"/>
      </rowBreaks>
      <pageMargins left="0.5" right="0.5" top="0.5" bottom="0.25" header="0.3" footer="0.3"/>
      <printOptions horizontalCentered="1"/>
      <pageSetup scale="10" firstPageNumber="44" orientation="landscape" useFirstPageNumber="1" r:id="rId2"/>
      <headerFooter scaleWithDoc="0" alignWithMargins="0">
        <oddFooter>&amp;C&amp;8&amp;P</oddFooter>
      </headerFooter>
    </customSheetView>
    <customSheetView guid="{C41E3923-0A88-49D0-AE43-0E74D386A056}"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3"/>
      <headerFooter scaleWithDoc="0" alignWithMargins="0">
        <oddFooter>&amp;C&amp;8&amp;P</oddFooter>
      </headerFooter>
    </customSheetView>
    <customSheetView guid="{1DF171D7-3BFC-49F6-B708-0F91FCFAB6E2}"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4"/>
      <headerFooter scaleWithDoc="0" alignWithMargins="0">
        <oddFooter>&amp;C&amp;8&amp;P</oddFooter>
      </headerFooter>
    </customSheetView>
    <customSheetView guid="{9F00D83C-7F4F-41B5-9976-8610D9EBC976}" showPageBreaks="1" showGridLines="0" fitToPage="1" printArea="1" topLeftCell="A42">
      <selection activeCell="C17" sqref="C17"/>
      <rowBreaks count="1" manualBreakCount="1">
        <brk id="2" max="21" man="1"/>
      </rowBreaks>
      <pageMargins left="0.5" right="0.5" top="0.5" bottom="0.25" header="0.3" footer="0.3"/>
      <printOptions horizontalCentered="1"/>
      <pageSetup scale="56" firstPageNumber="44" orientation="landscape" useFirstPageNumber="1" r:id="rId5"/>
      <headerFooter scaleWithDoc="0" alignWithMargins="0">
        <oddFooter>&amp;C&amp;8&amp;P</oddFooter>
      </headerFooter>
    </customSheetView>
    <customSheetView guid="{D1467C25-646C-4F1A-9353-0E890E575522}" showPageBreaks="1" showGridLines="0" fitToPage="1" printArea="1" topLeftCell="A43">
      <selection activeCell="M60" sqref="M60"/>
      <rowBreaks count="1" manualBreakCount="1">
        <brk id="2" max="21" man="1"/>
      </rowBreaks>
      <pageMargins left="0.5" right="0.5" top="0.5" bottom="0.25" header="0.3" footer="0.3"/>
      <printOptions horizontalCentered="1"/>
      <pageSetup scale="55" firstPageNumber="44" orientation="landscape" useFirstPageNumber="1" r:id="rId6"/>
      <headerFooter scaleWithDoc="0" alignWithMargins="0">
        <oddFooter>&amp;C&amp;8&amp;P</oddFooter>
      </headerFooter>
    </customSheetView>
    <customSheetView guid="{3A50DD26-AAF5-43D4-97DE-BAE3367A2F29}" showPageBreaks="1" showGridLines="0" fitToPage="1" printArea="1" topLeftCell="A9">
      <selection activeCell="C17" sqref="C17"/>
      <rowBreaks count="1" manualBreakCount="1">
        <brk id="2" max="21" man="1"/>
      </rowBreaks>
      <pageMargins left="0.5" right="0.5" top="0.5" bottom="0.25" header="0.3" footer="0.3"/>
      <printOptions horizontalCentered="1"/>
      <pageSetup scale="10" firstPageNumber="44" orientation="landscape" useFirstPageNumber="1" r:id="rId7"/>
      <headerFooter scaleWithDoc="0" alignWithMargins="0">
        <oddFooter>&amp;C&amp;8&amp;P</oddFooter>
      </headerFooter>
    </customSheetView>
    <customSheetView guid="{C3636880-B45B-4897-94F2-F91976416934}" showPageBreaks="1" showGridLines="0" fitToPage="1" printArea="1" topLeftCell="A42">
      <selection activeCell="C17" sqref="C17"/>
      <rowBreaks count="1" manualBreakCount="1">
        <brk id="2" max="21" man="1"/>
      </rowBreaks>
      <pageMargins left="0.5" right="0.5" top="0.5" bottom="0.25" header="0.3" footer="0.3"/>
      <printOptions horizontalCentered="1"/>
      <pageSetup scale="55" firstPageNumber="44" orientation="landscape" useFirstPageNumber="1" r:id="rId8"/>
      <headerFooter scaleWithDoc="0" alignWithMargins="0">
        <oddFooter>&amp;C&amp;8&amp;P</oddFooter>
      </headerFooter>
    </customSheetView>
  </customSheetViews>
  <mergeCells count="1">
    <mergeCell ref="E9:G9"/>
  </mergeCells>
  <printOptions horizontalCentered="1"/>
  <pageMargins left="0.5" right="0.5" top="0.5" bottom="0.25" header="0.3" footer="0.3"/>
  <pageSetup scale="55" firstPageNumber="44" orientation="landscape" useFirstPageNumber="1" r:id="rId9"/>
  <headerFooter scaleWithDoc="0" alignWithMargins="0">
    <oddFooter>&amp;C&amp;8&amp;P</oddFooter>
  </headerFooter>
  <rowBreaks count="1" manualBreakCount="1">
    <brk id="2" max="21" man="1"/>
  </rowBreaks>
  <customProperties>
    <customPr name="SheetOptions" r:id="rId10"/>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workbookViewId="0"/>
  </sheetViews>
  <sheetFormatPr defaultColWidth="8.88671875" defaultRowHeight="15"/>
  <cols>
    <col min="1" max="1" width="3.88671875" style="572" customWidth="1"/>
    <col min="2" max="2" width="43.88671875" style="572" customWidth="1"/>
    <col min="3" max="3" width="2.109375" style="572" customWidth="1"/>
    <col min="4" max="4" width="16.88671875" style="572" customWidth="1"/>
    <col min="5" max="5" width="2.109375" style="572" customWidth="1"/>
    <col min="6" max="6" width="16.88671875" style="572" customWidth="1"/>
    <col min="7" max="7" width="2.109375" style="572" customWidth="1"/>
    <col min="8" max="8" width="16.88671875" style="572" customWidth="1"/>
    <col min="9" max="9" width="2.109375" style="572" customWidth="1"/>
    <col min="10" max="10" width="16.88671875" style="572" customWidth="1"/>
    <col min="11" max="11" width="2.109375" style="572" customWidth="1"/>
    <col min="12" max="12" width="16.88671875" style="572" customWidth="1"/>
    <col min="13" max="13" width="2.109375" style="572" customWidth="1"/>
    <col min="14" max="14" width="16.88671875" style="572" customWidth="1"/>
    <col min="15" max="15" width="2.109375" style="572" customWidth="1"/>
    <col min="16" max="16" width="16.88671875" style="572" customWidth="1"/>
    <col min="17" max="17" width="2.109375" style="572" customWidth="1"/>
    <col min="18" max="18" width="16.88671875" style="572" customWidth="1"/>
    <col min="19" max="19" width="17.109375" style="572" customWidth="1"/>
    <col min="20" max="20" width="18.5546875" style="572" customWidth="1"/>
    <col min="21" max="21" width="35.109375" style="572" bestFit="1" customWidth="1"/>
    <col min="22" max="16384" width="8.88671875" style="572"/>
  </cols>
  <sheetData>
    <row r="1" spans="1:19">
      <c r="B1" s="386" t="s">
        <v>97</v>
      </c>
    </row>
    <row r="2" spans="1:19">
      <c r="B2" s="1587"/>
      <c r="C2" s="1587"/>
      <c r="D2" s="1587"/>
      <c r="E2" s="1587"/>
      <c r="F2" s="1587"/>
      <c r="G2" s="1587"/>
      <c r="H2" s="1587"/>
      <c r="I2" s="1587"/>
      <c r="J2" s="1587"/>
      <c r="K2" s="1587"/>
      <c r="L2" s="1587"/>
      <c r="M2" s="1587"/>
      <c r="N2" s="1587"/>
      <c r="O2" s="1587"/>
      <c r="P2" s="1587"/>
      <c r="Q2" s="1587"/>
      <c r="R2" s="1587"/>
      <c r="S2" s="1587"/>
    </row>
    <row r="3" spans="1:19" ht="15.75">
      <c r="A3" s="571"/>
      <c r="B3" s="1588" t="s">
        <v>98</v>
      </c>
      <c r="C3" s="1588"/>
      <c r="D3" s="1588"/>
      <c r="E3" s="1588"/>
      <c r="F3" s="1587"/>
      <c r="G3" s="1587"/>
      <c r="H3" s="1587"/>
      <c r="I3" s="1587"/>
      <c r="J3" s="1587"/>
      <c r="K3" s="1587"/>
      <c r="L3" s="1587"/>
      <c r="M3" s="1587"/>
      <c r="N3" s="1587"/>
      <c r="O3" s="1587"/>
      <c r="P3" s="1587"/>
      <c r="Q3" s="1587"/>
      <c r="R3" s="1589" t="s">
        <v>851</v>
      </c>
      <c r="S3" s="1590"/>
    </row>
    <row r="4" spans="1:19" ht="15.75">
      <c r="A4" s="571"/>
      <c r="B4" s="1588" t="s">
        <v>852</v>
      </c>
      <c r="C4" s="1588"/>
      <c r="D4" s="1588"/>
      <c r="E4" s="1588"/>
      <c r="F4" s="1587"/>
      <c r="G4" s="1587"/>
      <c r="H4" s="1587"/>
      <c r="I4" s="1587"/>
      <c r="J4" s="1587"/>
      <c r="K4" s="1587"/>
      <c r="L4" s="1587"/>
      <c r="M4" s="1587"/>
      <c r="N4" s="1587"/>
      <c r="O4" s="1587"/>
      <c r="P4" s="1587"/>
      <c r="Q4" s="1587"/>
      <c r="R4" s="1587"/>
      <c r="S4" s="1587"/>
    </row>
    <row r="5" spans="1:19" ht="15.75">
      <c r="A5" s="571"/>
      <c r="B5" s="1588" t="s">
        <v>1454</v>
      </c>
      <c r="C5" s="1588"/>
      <c r="D5" s="1588"/>
      <c r="E5" s="1588"/>
      <c r="F5" s="1587" t="s">
        <v>103</v>
      </c>
      <c r="G5" s="1587"/>
      <c r="H5" s="1587"/>
      <c r="I5" s="1587"/>
      <c r="J5" s="1587"/>
      <c r="K5" s="1587"/>
      <c r="L5" s="1587"/>
      <c r="M5" s="1587"/>
      <c r="N5" s="1587"/>
      <c r="O5" s="1587"/>
      <c r="P5" s="1587"/>
      <c r="Q5" s="1587"/>
      <c r="R5" s="1587"/>
      <c r="S5" s="1587"/>
    </row>
    <row r="6" spans="1:19" ht="15.75">
      <c r="A6" s="571"/>
      <c r="B6" s="1591" t="str">
        <f>'Exh D Governmental  '!A6</f>
        <v>FOR THREE MONTHS ENDED JUNE 30, 2026</v>
      </c>
      <c r="C6" s="1591"/>
      <c r="D6" s="1588"/>
      <c r="E6" s="1588"/>
      <c r="F6" s="1587"/>
      <c r="G6" s="1587"/>
      <c r="H6" s="1587"/>
      <c r="I6" s="1587"/>
      <c r="J6" s="1587"/>
      <c r="K6" s="1587"/>
      <c r="L6" s="1587"/>
      <c r="M6" s="1587"/>
      <c r="N6" s="1587"/>
      <c r="O6" s="1587"/>
      <c r="P6" s="1587"/>
      <c r="Q6" s="1587"/>
      <c r="R6" s="1587"/>
      <c r="S6" s="1587"/>
    </row>
    <row r="7" spans="1:19" ht="15.75">
      <c r="A7" s="571"/>
      <c r="B7" s="1592"/>
      <c r="C7" s="1592"/>
      <c r="D7" s="1588"/>
      <c r="E7" s="1588"/>
      <c r="F7" s="1587"/>
      <c r="G7" s="1587"/>
      <c r="H7" s="1587"/>
      <c r="I7" s="1587"/>
      <c r="J7" s="1587"/>
      <c r="K7" s="1587"/>
      <c r="L7" s="1587"/>
      <c r="M7" s="1587"/>
      <c r="N7" s="1587"/>
      <c r="O7" s="1587"/>
      <c r="P7" s="1587"/>
      <c r="Q7" s="1587"/>
      <c r="R7" s="1587"/>
      <c r="S7" s="1587"/>
    </row>
    <row r="8" spans="1:19" ht="5.25" customHeight="1">
      <c r="B8" s="1593"/>
      <c r="C8" s="1593"/>
      <c r="D8" s="1587"/>
      <c r="E8" s="1587"/>
      <c r="F8" s="1587"/>
      <c r="G8" s="1587"/>
      <c r="H8" s="1587"/>
      <c r="I8" s="1587"/>
      <c r="J8" s="1587"/>
      <c r="K8" s="1587"/>
      <c r="L8" s="1587"/>
      <c r="M8" s="1587"/>
      <c r="N8" s="1587"/>
      <c r="O8" s="1587"/>
      <c r="P8" s="1587"/>
      <c r="Q8" s="1587"/>
      <c r="R8" s="1587"/>
      <c r="S8" s="1587"/>
    </row>
    <row r="9" spans="1:19" ht="15.75">
      <c r="B9" s="1587"/>
      <c r="C9" s="1587"/>
      <c r="E9" s="1594"/>
      <c r="F9" s="1594"/>
      <c r="G9" s="1594"/>
      <c r="H9" s="1594"/>
      <c r="I9" s="1594"/>
      <c r="J9" s="1594"/>
      <c r="K9" s="1594"/>
      <c r="L9" s="1594"/>
      <c r="M9" s="1594"/>
      <c r="N9" s="1587"/>
      <c r="O9" s="1587"/>
      <c r="P9" s="1587"/>
      <c r="Q9" s="1587"/>
      <c r="R9" s="1587"/>
      <c r="S9" s="1587"/>
    </row>
    <row r="10" spans="1:19" ht="15.75">
      <c r="B10" s="1587"/>
      <c r="C10" s="1587"/>
      <c r="D10" s="1594" t="s">
        <v>807</v>
      </c>
      <c r="E10" s="1595"/>
      <c r="F10" s="1595" t="s">
        <v>853</v>
      </c>
      <c r="G10" s="1595"/>
      <c r="H10" s="1595" t="s">
        <v>854</v>
      </c>
      <c r="I10" s="1595"/>
      <c r="J10" s="1595" t="s">
        <v>855</v>
      </c>
      <c r="K10" s="1595"/>
      <c r="L10" s="1595" t="s">
        <v>856</v>
      </c>
      <c r="M10" s="1595"/>
      <c r="N10" s="1587"/>
      <c r="O10" s="1587"/>
      <c r="P10" s="1587"/>
      <c r="Q10" s="1587"/>
      <c r="R10" s="1587"/>
      <c r="S10" s="1587"/>
    </row>
    <row r="11" spans="1:19" ht="15.75">
      <c r="B11" s="1587"/>
      <c r="C11" s="1587"/>
      <c r="D11" s="1595" t="s">
        <v>857</v>
      </c>
      <c r="E11" s="1595"/>
      <c r="F11" s="1595" t="s">
        <v>807</v>
      </c>
      <c r="G11" s="1595"/>
      <c r="H11" s="1595" t="s">
        <v>858</v>
      </c>
      <c r="I11" s="1595"/>
      <c r="J11" s="1596" t="s">
        <v>859</v>
      </c>
      <c r="K11" s="1595"/>
      <c r="L11" s="1595" t="s">
        <v>860</v>
      </c>
      <c r="M11" s="1595"/>
      <c r="N11" s="1597" t="s">
        <v>861</v>
      </c>
      <c r="O11" s="1597"/>
      <c r="P11" s="1597"/>
      <c r="Q11" s="1587"/>
      <c r="R11" s="1587"/>
      <c r="S11" s="1587"/>
    </row>
    <row r="12" spans="1:19" ht="15.75">
      <c r="B12" s="1587"/>
      <c r="C12" s="1587"/>
      <c r="D12" s="1595" t="s">
        <v>862</v>
      </c>
      <c r="E12" s="1595"/>
      <c r="F12" s="1595" t="s">
        <v>863</v>
      </c>
      <c r="G12" s="1595"/>
      <c r="H12" s="1595" t="s">
        <v>864</v>
      </c>
      <c r="I12" s="1595"/>
      <c r="J12" s="1596" t="s">
        <v>865</v>
      </c>
      <c r="K12" s="1596"/>
      <c r="L12" s="1595" t="s">
        <v>866</v>
      </c>
      <c r="M12" s="1595"/>
      <c r="N12" s="1598" t="str">
        <f>UPPER('Cashflow Governmental'!$AB$12)</f>
        <v>3 MONTHS ENDED JUNE 30</v>
      </c>
      <c r="O12" s="1598"/>
      <c r="P12" s="1598"/>
      <c r="Q12" s="1587"/>
      <c r="R12" s="1594" t="s">
        <v>867</v>
      </c>
      <c r="S12" s="1595"/>
    </row>
    <row r="13" spans="1:19" ht="15.75">
      <c r="A13" s="571"/>
      <c r="B13" s="1599" t="s">
        <v>1455</v>
      </c>
      <c r="C13" s="1588"/>
      <c r="D13" s="1600" t="s">
        <v>868</v>
      </c>
      <c r="E13" s="1595"/>
      <c r="F13" s="1600" t="s">
        <v>869</v>
      </c>
      <c r="G13" s="1595"/>
      <c r="H13" s="1601" t="s">
        <v>870</v>
      </c>
      <c r="I13" s="1595"/>
      <c r="J13" s="1602" t="s">
        <v>871</v>
      </c>
      <c r="K13" s="1595"/>
      <c r="L13" s="1602" t="s">
        <v>872</v>
      </c>
      <c r="M13" s="1595"/>
      <c r="N13" s="1603" t="str">
        <f>'Cashflow Governmental'!$AB$14</f>
        <v>2026</v>
      </c>
      <c r="O13" s="1603"/>
      <c r="P13" s="1603" t="str">
        <f>'Cashflow Governmental'!$AE$14</f>
        <v>2025</v>
      </c>
      <c r="Q13" s="1595"/>
      <c r="R13" s="1604" t="s">
        <v>873</v>
      </c>
      <c r="S13" s="1595"/>
    </row>
    <row r="14" spans="1:19" ht="15.75">
      <c r="B14" s="1588" t="s">
        <v>874</v>
      </c>
      <c r="C14" s="1588"/>
      <c r="D14" s="1605"/>
      <c r="E14" s="1605"/>
      <c r="F14" s="1606"/>
      <c r="G14" s="1606"/>
      <c r="H14" s="1607"/>
      <c r="I14" s="1607"/>
      <c r="J14" s="1605"/>
      <c r="K14" s="1605"/>
      <c r="L14" s="1605"/>
      <c r="M14" s="1605"/>
      <c r="N14" s="1607"/>
      <c r="O14" s="1607"/>
      <c r="P14" s="1608"/>
      <c r="Q14" s="1608"/>
      <c r="R14" s="1587"/>
      <c r="S14" s="1587"/>
    </row>
    <row r="15" spans="1:19">
      <c r="A15" s="1609"/>
      <c r="B15" s="1593" t="s">
        <v>875</v>
      </c>
      <c r="C15" s="1593"/>
      <c r="D15" s="1610">
        <v>0</v>
      </c>
      <c r="E15" s="1610"/>
      <c r="F15" s="1610">
        <v>6054625</v>
      </c>
      <c r="G15" s="1610"/>
      <c r="H15" s="1610">
        <v>0</v>
      </c>
      <c r="I15" s="1610"/>
      <c r="J15" s="1610">
        <v>0</v>
      </c>
      <c r="K15" s="1610"/>
      <c r="L15" s="1610">
        <v>0</v>
      </c>
      <c r="M15" s="1610"/>
      <c r="N15" s="1610">
        <f>ROUND(SUM(D15:M15),0)</f>
        <v>6054625</v>
      </c>
      <c r="O15" s="1610"/>
      <c r="P15" s="1610">
        <v>6054625</v>
      </c>
      <c r="Q15" s="1610"/>
      <c r="R15" s="1611">
        <f>ROUND(N15-P15,0)</f>
        <v>0</v>
      </c>
      <c r="S15" s="1610"/>
    </row>
    <row r="16" spans="1:19">
      <c r="A16" s="1609"/>
      <c r="B16" s="1587" t="s">
        <v>876</v>
      </c>
      <c r="C16" s="1587"/>
      <c r="D16" s="1670"/>
      <c r="E16" s="1670"/>
      <c r="F16" s="1670"/>
      <c r="G16" s="1670"/>
      <c r="H16" s="1670"/>
      <c r="I16" s="1670"/>
      <c r="J16" s="1670"/>
      <c r="K16" s="1612"/>
      <c r="L16" s="1670"/>
      <c r="M16" s="1612"/>
      <c r="N16" s="1612"/>
      <c r="O16" s="1612"/>
      <c r="P16" s="1932"/>
      <c r="Q16" s="1612"/>
      <c r="R16" s="1613"/>
      <c r="S16" s="1610"/>
    </row>
    <row r="17" spans="1:21">
      <c r="A17" s="1609"/>
      <c r="B17" s="1587" t="s">
        <v>877</v>
      </c>
      <c r="C17" s="1587"/>
      <c r="D17" s="1670">
        <v>0</v>
      </c>
      <c r="E17" s="1670"/>
      <c r="F17" s="1670">
        <v>0</v>
      </c>
      <c r="G17" s="1670"/>
      <c r="H17" s="1670">
        <v>0</v>
      </c>
      <c r="I17" s="1670"/>
      <c r="J17" s="1670">
        <v>218400</v>
      </c>
      <c r="K17" s="1670"/>
      <c r="L17" s="1670">
        <v>0</v>
      </c>
      <c r="M17" s="1670"/>
      <c r="N17" s="1612">
        <f t="shared" ref="N17:N21" si="0">ROUND(SUM(D17:M17),0)</f>
        <v>218400</v>
      </c>
      <c r="O17" s="1612"/>
      <c r="P17" s="1612">
        <v>218400</v>
      </c>
      <c r="Q17" s="1614"/>
      <c r="R17" s="1614">
        <f t="shared" ref="R17:R21" si="1">SUM(N17-P17,0)</f>
        <v>0</v>
      </c>
      <c r="S17" s="1610"/>
    </row>
    <row r="18" spans="1:21">
      <c r="A18" s="1609"/>
      <c r="B18" s="1587" t="s">
        <v>878</v>
      </c>
      <c r="C18" s="1587"/>
      <c r="D18" s="1670">
        <v>0</v>
      </c>
      <c r="E18" s="1670"/>
      <c r="F18" s="1670">
        <v>0</v>
      </c>
      <c r="G18" s="1670"/>
      <c r="H18" s="1670">
        <v>0</v>
      </c>
      <c r="I18" s="1670"/>
      <c r="J18" s="1670">
        <v>0</v>
      </c>
      <c r="K18" s="1670"/>
      <c r="L18" s="1670">
        <v>0</v>
      </c>
      <c r="M18" s="1670"/>
      <c r="N18" s="1612">
        <f t="shared" si="0"/>
        <v>0</v>
      </c>
      <c r="O18" s="1612"/>
      <c r="P18" s="1612">
        <v>8106639</v>
      </c>
      <c r="Q18" s="1614"/>
      <c r="R18" s="1614">
        <f t="shared" si="1"/>
        <v>-8106639</v>
      </c>
      <c r="S18" s="1610"/>
    </row>
    <row r="19" spans="1:21">
      <c r="A19" s="1609"/>
      <c r="B19" s="1587" t="s">
        <v>879</v>
      </c>
      <c r="C19" s="1587"/>
      <c r="D19" s="1670">
        <v>0</v>
      </c>
      <c r="E19" s="1670"/>
      <c r="F19" s="1670">
        <v>0</v>
      </c>
      <c r="G19" s="1670"/>
      <c r="H19" s="1670">
        <v>0</v>
      </c>
      <c r="I19" s="1670"/>
      <c r="J19" s="1670">
        <v>0</v>
      </c>
      <c r="K19" s="1670"/>
      <c r="L19" s="1670">
        <v>0</v>
      </c>
      <c r="M19" s="1670"/>
      <c r="N19" s="1612">
        <f t="shared" si="0"/>
        <v>0</v>
      </c>
      <c r="O19" s="1612"/>
      <c r="P19" s="1612">
        <v>0</v>
      </c>
      <c r="Q19" s="1614"/>
      <c r="R19" s="1614">
        <f t="shared" si="1"/>
        <v>0</v>
      </c>
      <c r="S19" s="1610"/>
    </row>
    <row r="20" spans="1:21">
      <c r="A20" s="1609"/>
      <c r="B20" s="1587" t="s">
        <v>880</v>
      </c>
      <c r="C20" s="1587"/>
      <c r="D20" s="1670">
        <v>0</v>
      </c>
      <c r="E20" s="1670"/>
      <c r="F20" s="1670">
        <v>0</v>
      </c>
      <c r="G20" s="1670"/>
      <c r="H20" s="1670">
        <v>0</v>
      </c>
      <c r="I20" s="1670"/>
      <c r="J20" s="1670">
        <v>0</v>
      </c>
      <c r="K20" s="1670"/>
      <c r="L20" s="1670">
        <v>0</v>
      </c>
      <c r="M20" s="1670"/>
      <c r="N20" s="1612">
        <f t="shared" si="0"/>
        <v>0</v>
      </c>
      <c r="O20" s="1612"/>
      <c r="P20" s="1612">
        <v>0</v>
      </c>
      <c r="Q20" s="1614"/>
      <c r="R20" s="1614">
        <f t="shared" si="1"/>
        <v>0</v>
      </c>
      <c r="S20" s="1610"/>
    </row>
    <row r="21" spans="1:21">
      <c r="A21" s="1609"/>
      <c r="B21" s="1587" t="s">
        <v>881</v>
      </c>
      <c r="C21" s="1587"/>
      <c r="D21" s="1670">
        <v>0</v>
      </c>
      <c r="E21" s="1670"/>
      <c r="F21" s="1670">
        <v>0</v>
      </c>
      <c r="G21" s="1670"/>
      <c r="H21" s="1670">
        <v>0</v>
      </c>
      <c r="I21" s="1670"/>
      <c r="J21" s="1670">
        <v>0</v>
      </c>
      <c r="K21" s="1670"/>
      <c r="L21" s="1670">
        <v>0</v>
      </c>
      <c r="M21" s="1670"/>
      <c r="N21" s="1612">
        <f t="shared" si="0"/>
        <v>0</v>
      </c>
      <c r="O21" s="1612"/>
      <c r="P21" s="1612">
        <v>0</v>
      </c>
      <c r="Q21" s="1614"/>
      <c r="R21" s="1614">
        <f t="shared" si="1"/>
        <v>0</v>
      </c>
      <c r="S21" s="1610"/>
    </row>
    <row r="22" spans="1:21">
      <c r="A22" s="1609"/>
      <c r="B22" s="1587" t="s">
        <v>1482</v>
      </c>
      <c r="C22" s="1587"/>
      <c r="D22" s="1670">
        <v>0</v>
      </c>
      <c r="E22" s="1670"/>
      <c r="F22" s="1670">
        <v>0</v>
      </c>
      <c r="G22" s="1670"/>
      <c r="H22" s="1670">
        <v>0</v>
      </c>
      <c r="I22" s="1670"/>
      <c r="J22" s="1670">
        <v>7246554</v>
      </c>
      <c r="K22" s="1670"/>
      <c r="L22" s="1670">
        <v>0</v>
      </c>
      <c r="M22" s="1670"/>
      <c r="N22" s="1612">
        <f t="shared" ref="N22" si="2">ROUND(SUM(D22:M22),0)</f>
        <v>7246554</v>
      </c>
      <c r="O22" s="1612"/>
      <c r="P22" s="1612">
        <v>8614066</v>
      </c>
      <c r="Q22" s="1614"/>
      <c r="R22" s="1614">
        <f t="shared" ref="R22" si="3">SUM(N22-P22,0)</f>
        <v>-1367512</v>
      </c>
      <c r="S22" s="1610"/>
    </row>
    <row r="23" spans="1:21">
      <c r="A23" s="1609"/>
      <c r="B23" s="1587" t="s">
        <v>882</v>
      </c>
      <c r="C23" s="1587"/>
      <c r="D23" s="1670"/>
      <c r="E23" s="1670"/>
      <c r="F23" s="1670"/>
      <c r="G23" s="1612"/>
      <c r="H23" s="1670"/>
      <c r="I23" s="1670"/>
      <c r="J23" s="1670"/>
      <c r="K23" s="1612"/>
      <c r="L23" s="1670"/>
      <c r="M23" s="1612"/>
      <c r="N23" s="1612"/>
      <c r="O23" s="1612"/>
      <c r="P23" s="1933"/>
      <c r="Q23" s="1614"/>
      <c r="R23" s="1612"/>
      <c r="S23" s="1610"/>
    </row>
    <row r="24" spans="1:21" ht="17.100000000000001" customHeight="1">
      <c r="A24" s="1609"/>
      <c r="B24" s="1587" t="s">
        <v>883</v>
      </c>
      <c r="C24" s="1587"/>
      <c r="D24" s="1670">
        <v>0</v>
      </c>
      <c r="E24" s="1670"/>
      <c r="F24" s="1670">
        <v>0</v>
      </c>
      <c r="G24" s="1612"/>
      <c r="H24" s="1670">
        <v>0</v>
      </c>
      <c r="I24" s="1670"/>
      <c r="J24" s="1670">
        <v>0</v>
      </c>
      <c r="K24" s="1612"/>
      <c r="L24" s="1670">
        <v>0</v>
      </c>
      <c r="M24" s="1612"/>
      <c r="N24" s="1612">
        <f>ROUND(SUM(D24:M24),0)</f>
        <v>0</v>
      </c>
      <c r="O24" s="1612"/>
      <c r="P24" s="1612">
        <v>0</v>
      </c>
      <c r="Q24" s="1614"/>
      <c r="R24" s="1614">
        <f t="shared" ref="R24:R28" si="4">SUM(N24-P24,0)</f>
        <v>0</v>
      </c>
      <c r="S24" s="1610"/>
    </row>
    <row r="25" spans="1:21">
      <c r="A25" s="1609"/>
      <c r="B25" s="1587" t="s">
        <v>884</v>
      </c>
      <c r="C25" s="1587"/>
      <c r="D25" s="1670">
        <v>0</v>
      </c>
      <c r="E25" s="1670"/>
      <c r="F25" s="1670">
        <v>0</v>
      </c>
      <c r="G25" s="1670"/>
      <c r="H25" s="1670">
        <v>0</v>
      </c>
      <c r="I25" s="1670"/>
      <c r="J25" s="1670">
        <v>0</v>
      </c>
      <c r="K25" s="1670"/>
      <c r="L25" s="1670">
        <v>0</v>
      </c>
      <c r="M25" s="1670"/>
      <c r="N25" s="1612">
        <f>ROUND(SUM(D25:M25),0)</f>
        <v>0</v>
      </c>
      <c r="O25" s="1612"/>
      <c r="P25" s="1612">
        <v>0</v>
      </c>
      <c r="Q25" s="1614"/>
      <c r="R25" s="1614">
        <f t="shared" si="4"/>
        <v>0</v>
      </c>
      <c r="S25" s="1610"/>
    </row>
    <row r="26" spans="1:21">
      <c r="A26" s="1609"/>
      <c r="B26" s="1587" t="s">
        <v>885</v>
      </c>
      <c r="C26" s="1587"/>
      <c r="D26" s="1670"/>
      <c r="E26" s="1670"/>
      <c r="F26" s="1670"/>
      <c r="G26" s="1670"/>
      <c r="H26" s="1670"/>
      <c r="I26" s="1670"/>
      <c r="J26" s="1670"/>
      <c r="K26" s="1670"/>
      <c r="L26" s="1670"/>
      <c r="M26" s="1670"/>
      <c r="N26" s="1612"/>
      <c r="O26" s="1612"/>
      <c r="P26" s="1933"/>
      <c r="Q26" s="1614"/>
      <c r="R26" s="1612"/>
      <c r="S26" s="1610"/>
    </row>
    <row r="27" spans="1:21">
      <c r="A27" s="1609"/>
      <c r="B27" s="1615" t="s">
        <v>886</v>
      </c>
      <c r="C27" s="1616"/>
      <c r="D27" s="1670">
        <v>0</v>
      </c>
      <c r="E27" s="1670"/>
      <c r="F27" s="1670">
        <v>0</v>
      </c>
      <c r="G27" s="1670"/>
      <c r="H27" s="1670">
        <v>0</v>
      </c>
      <c r="I27" s="1670"/>
      <c r="J27" s="1670">
        <v>0</v>
      </c>
      <c r="K27" s="1670"/>
      <c r="L27" s="1670">
        <v>0</v>
      </c>
      <c r="M27" s="1670"/>
      <c r="N27" s="1612">
        <f t="shared" ref="N27" si="5">ROUND(SUM(D27:M27),0)</f>
        <v>0</v>
      </c>
      <c r="O27" s="1612"/>
      <c r="P27" s="1612">
        <v>0</v>
      </c>
      <c r="Q27" s="1614"/>
      <c r="R27" s="1614">
        <f>SUM(N27-P27,0)</f>
        <v>0</v>
      </c>
      <c r="S27" s="1610"/>
    </row>
    <row r="28" spans="1:21" ht="15.75">
      <c r="A28" s="571"/>
      <c r="B28" s="1587" t="s">
        <v>887</v>
      </c>
      <c r="C28" s="1587"/>
      <c r="D28" s="1670">
        <v>0</v>
      </c>
      <c r="E28" s="1670"/>
      <c r="F28" s="1670">
        <v>0</v>
      </c>
      <c r="G28" s="1670"/>
      <c r="H28" s="1670">
        <v>0</v>
      </c>
      <c r="I28" s="1670"/>
      <c r="J28" s="1670">
        <v>0</v>
      </c>
      <c r="K28" s="1670"/>
      <c r="L28" s="1670">
        <v>0</v>
      </c>
      <c r="M28" s="1670"/>
      <c r="N28" s="1612">
        <f>ROUND(SUM(D28:M28),0)</f>
        <v>0</v>
      </c>
      <c r="O28" s="1612"/>
      <c r="P28" s="1612">
        <v>0</v>
      </c>
      <c r="Q28" s="1586"/>
      <c r="R28" s="1614">
        <f t="shared" si="4"/>
        <v>0</v>
      </c>
      <c r="S28" s="1610"/>
      <c r="U28" s="1617"/>
    </row>
    <row r="29" spans="1:21" ht="15.75">
      <c r="B29" s="1588" t="s">
        <v>888</v>
      </c>
      <c r="C29" s="1588"/>
      <c r="D29" s="1587"/>
      <c r="E29" s="1587"/>
      <c r="F29" s="1587"/>
      <c r="G29" s="1587"/>
      <c r="H29" s="1608"/>
      <c r="I29" s="1608"/>
      <c r="J29" s="1608"/>
      <c r="K29" s="1608"/>
      <c r="L29" s="1608"/>
      <c r="M29" s="1608"/>
      <c r="N29" s="1608"/>
      <c r="O29" s="1608"/>
      <c r="P29" s="1608"/>
      <c r="Q29" s="1587"/>
      <c r="R29" s="1612"/>
      <c r="S29" s="1610"/>
    </row>
    <row r="30" spans="1:21" s="571" customFormat="1" ht="16.5" thickBot="1">
      <c r="B30" s="1618" t="s">
        <v>1456</v>
      </c>
      <c r="C30" s="1591"/>
      <c r="D30" s="1619">
        <f>ROUND(SUM(D15:D28),0)</f>
        <v>0</v>
      </c>
      <c r="E30" s="1620"/>
      <c r="F30" s="1619">
        <f>ROUND(SUM(F15:F28),0)</f>
        <v>6054625</v>
      </c>
      <c r="G30" s="1620"/>
      <c r="H30" s="1619">
        <f>ROUND(SUM(H15:H28),0)</f>
        <v>0</v>
      </c>
      <c r="I30" s="1620"/>
      <c r="J30" s="1619">
        <f>ROUND(SUM(J15:J28),0)</f>
        <v>7464954</v>
      </c>
      <c r="K30" s="1620"/>
      <c r="L30" s="1619">
        <f>ROUND(SUM(L15:L28),0)</f>
        <v>0</v>
      </c>
      <c r="M30" s="1620"/>
      <c r="N30" s="1619">
        <f>ROUND(SUM(N15:N28),0)</f>
        <v>13519579</v>
      </c>
      <c r="O30" s="1620"/>
      <c r="P30" s="1619">
        <f>ROUND(SUM(P15:P28),0)</f>
        <v>22993730</v>
      </c>
      <c r="Q30" s="1620"/>
      <c r="R30" s="1619">
        <f>ROUND(SUM(R15:R28),0)</f>
        <v>-9474151</v>
      </c>
      <c r="S30" s="1610"/>
    </row>
    <row r="31" spans="1:21" ht="15.75" thickTop="1">
      <c r="C31" s="1593"/>
      <c r="D31" s="1587"/>
      <c r="E31" s="1587"/>
      <c r="F31" s="1587"/>
      <c r="G31" s="1587"/>
      <c r="H31" s="1587"/>
      <c r="I31" s="1587"/>
      <c r="J31" s="1587"/>
      <c r="K31" s="1587"/>
      <c r="L31" s="1587"/>
      <c r="M31" s="1587"/>
      <c r="N31" s="1587"/>
      <c r="O31" s="1587"/>
      <c r="P31" s="1587"/>
      <c r="Q31" s="1587"/>
      <c r="R31" s="1621"/>
      <c r="S31" s="1587"/>
    </row>
    <row r="32" spans="1:21">
      <c r="B32" s="364"/>
      <c r="C32" s="1587"/>
      <c r="D32" s="1587"/>
      <c r="E32" s="1587"/>
      <c r="F32" s="1587"/>
      <c r="G32" s="1587"/>
      <c r="H32" s="1587"/>
      <c r="I32" s="1587"/>
      <c r="J32" s="1587"/>
      <c r="K32" s="1587"/>
      <c r="L32" s="1622"/>
      <c r="M32" s="1587"/>
      <c r="N32" s="1623" t="s">
        <v>103</v>
      </c>
      <c r="O32" s="1587"/>
      <c r="P32" s="1587"/>
      <c r="Q32" s="1587"/>
      <c r="R32" s="1587"/>
    </row>
    <row r="33" spans="2:25">
      <c r="N33" s="1624" t="s">
        <v>103</v>
      </c>
    </row>
    <row r="34" spans="2:25">
      <c r="B34" s="1984"/>
      <c r="C34" s="1984"/>
      <c r="D34" s="1984"/>
      <c r="E34" s="1984"/>
      <c r="F34" s="1984"/>
      <c r="G34" s="1984"/>
      <c r="H34" s="1984"/>
      <c r="I34" s="1984"/>
      <c r="J34" s="1984"/>
      <c r="K34" s="1984"/>
      <c r="L34" s="1984"/>
      <c r="M34" s="1984"/>
      <c r="N34" s="1984" t="s">
        <v>103</v>
      </c>
      <c r="O34" s="1984"/>
      <c r="P34" s="1984"/>
      <c r="Q34" s="1984"/>
      <c r="R34" s="1984"/>
      <c r="S34" s="1984"/>
    </row>
    <row r="35" spans="2:25">
      <c r="B35" s="1984"/>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row>
    <row r="36" spans="2:25">
      <c r="B36" s="1984"/>
      <c r="C36" s="1984"/>
      <c r="D36" s="1984"/>
      <c r="E36" s="1984"/>
      <c r="F36" s="1984"/>
      <c r="G36" s="1984"/>
      <c r="H36" s="1984"/>
      <c r="I36" s="1984"/>
      <c r="J36" s="1984"/>
      <c r="K36" s="1984"/>
      <c r="L36" s="1984"/>
      <c r="M36" s="1984"/>
      <c r="N36" s="1984"/>
      <c r="O36" s="1984"/>
      <c r="P36" s="1984"/>
      <c r="Q36" s="1984"/>
      <c r="R36" s="1984"/>
      <c r="S36" s="1984"/>
      <c r="T36" s="1984"/>
      <c r="U36" s="1984"/>
      <c r="V36" s="1984"/>
      <c r="W36" s="1984"/>
      <c r="X36" s="1984"/>
      <c r="Y36" s="1984"/>
    </row>
    <row r="37" spans="2:25">
      <c r="B37" s="1984"/>
      <c r="C37" s="1984"/>
      <c r="D37" s="1984"/>
      <c r="E37" s="1984"/>
      <c r="F37" s="1984"/>
      <c r="G37" s="1984"/>
      <c r="H37" s="1984"/>
      <c r="I37" s="1984"/>
      <c r="J37" s="1984"/>
      <c r="K37" s="1984"/>
      <c r="L37" s="1984"/>
      <c r="M37" s="1984"/>
      <c r="N37" s="1984"/>
      <c r="O37" s="1984"/>
      <c r="P37" s="1984"/>
      <c r="Q37" s="1984"/>
      <c r="R37" s="1984"/>
      <c r="S37" s="1984"/>
      <c r="T37" s="1984"/>
      <c r="U37" s="1984"/>
      <c r="V37" s="1984"/>
      <c r="W37" s="1984"/>
      <c r="X37" s="1984"/>
      <c r="Y37" s="1984"/>
    </row>
    <row r="38" spans="2:25">
      <c r="B38" s="1984"/>
      <c r="C38" s="1984"/>
      <c r="D38" s="1984"/>
      <c r="E38" s="1984"/>
      <c r="F38" s="1984"/>
      <c r="G38" s="1984"/>
      <c r="H38" s="1984"/>
      <c r="I38" s="1984"/>
      <c r="J38" s="1984"/>
      <c r="K38" s="1984"/>
      <c r="L38" s="1984"/>
      <c r="M38" s="1984"/>
      <c r="N38" s="1984"/>
      <c r="O38" s="1984"/>
      <c r="P38" s="1984"/>
      <c r="Q38" s="1984"/>
      <c r="R38" s="1984"/>
      <c r="S38" s="1984"/>
      <c r="T38" s="1984"/>
      <c r="U38" s="1984"/>
      <c r="V38" s="1984"/>
      <c r="W38" s="1984"/>
      <c r="X38" s="1984"/>
      <c r="Y38" s="1984"/>
    </row>
    <row r="39" spans="2:25">
      <c r="B39" s="1984" t="s">
        <v>103</v>
      </c>
      <c r="C39" s="1984"/>
      <c r="D39" s="1984"/>
      <c r="E39" s="1984"/>
      <c r="F39" s="1984"/>
      <c r="G39" s="1984"/>
      <c r="H39" s="1984"/>
      <c r="I39" s="1984"/>
      <c r="J39" s="1984"/>
      <c r="K39" s="1984"/>
      <c r="L39" s="1984"/>
      <c r="M39" s="1984"/>
      <c r="N39" s="1984"/>
      <c r="O39" s="1984"/>
      <c r="P39" s="1984"/>
      <c r="Q39" s="1984"/>
      <c r="R39" s="1984"/>
      <c r="S39" s="1984"/>
      <c r="T39" s="1984"/>
      <c r="U39" s="1984"/>
      <c r="V39" s="1984"/>
      <c r="W39" s="1984"/>
      <c r="X39" s="1984"/>
      <c r="Y39" s="1984"/>
    </row>
    <row r="40" spans="2:25">
      <c r="B40" s="1984"/>
      <c r="C40" s="1984"/>
      <c r="D40" s="1984"/>
      <c r="E40" s="1984"/>
      <c r="F40" s="1984"/>
      <c r="G40" s="1984"/>
      <c r="H40" s="1984"/>
      <c r="I40" s="1984"/>
      <c r="J40" s="1984"/>
      <c r="K40" s="1984"/>
      <c r="L40" s="1984"/>
      <c r="M40" s="1984"/>
      <c r="N40" s="1984"/>
      <c r="O40" s="1984"/>
      <c r="P40" s="1984"/>
      <c r="Q40" s="1984"/>
      <c r="R40" s="1984"/>
      <c r="S40" s="1984"/>
      <c r="T40" s="1984"/>
      <c r="U40" s="1984"/>
      <c r="V40" s="1984"/>
      <c r="W40" s="1984"/>
      <c r="X40" s="1984"/>
      <c r="Y40" s="1984"/>
    </row>
    <row r="41" spans="2:25">
      <c r="B41" s="1984"/>
      <c r="C41" s="1984"/>
      <c r="D41" s="1984"/>
      <c r="E41" s="1984"/>
      <c r="F41" s="1984"/>
      <c r="G41" s="1984"/>
      <c r="H41" s="1984"/>
      <c r="I41" s="1984"/>
      <c r="J41" s="1984"/>
      <c r="K41" s="1984"/>
      <c r="L41" s="1984"/>
      <c r="M41" s="1984"/>
      <c r="N41" s="1984"/>
      <c r="O41" s="1984"/>
      <c r="P41" s="1984"/>
      <c r="Q41" s="1984"/>
      <c r="R41" s="1984"/>
      <c r="S41" s="1984"/>
      <c r="T41" s="1984"/>
      <c r="U41" s="1984"/>
      <c r="V41" s="1984"/>
      <c r="W41" s="1984"/>
      <c r="X41" s="1984"/>
      <c r="Y41" s="1984"/>
    </row>
    <row r="42" spans="2:25">
      <c r="B42" s="1984"/>
      <c r="C42" s="1984"/>
      <c r="D42" s="1984"/>
      <c r="E42" s="1984"/>
      <c r="F42" s="1984"/>
      <c r="G42" s="1984"/>
      <c r="H42" s="1984"/>
      <c r="I42" s="1984"/>
      <c r="J42" s="1984"/>
      <c r="K42" s="1984"/>
      <c r="L42" s="1984"/>
      <c r="M42" s="1984"/>
      <c r="N42" s="1984"/>
      <c r="O42" s="1984"/>
      <c r="P42" s="1984"/>
      <c r="Q42" s="1984"/>
      <c r="R42" s="1984"/>
      <c r="S42" s="1984"/>
      <c r="T42" s="1984"/>
      <c r="U42" s="1984"/>
      <c r="V42" s="1984"/>
      <c r="W42" s="1984"/>
      <c r="X42" s="1984"/>
      <c r="Y42" s="1984"/>
    </row>
    <row r="43" spans="2:25">
      <c r="B43" s="1984"/>
      <c r="C43" s="1984"/>
      <c r="D43" s="1984"/>
      <c r="E43" s="1984"/>
      <c r="F43" s="1984"/>
      <c r="G43" s="1984"/>
      <c r="H43" s="1984"/>
      <c r="I43" s="1984"/>
      <c r="J43" s="1984"/>
      <c r="K43" s="1984"/>
      <c r="L43" s="1984"/>
      <c r="M43" s="1984"/>
      <c r="N43" s="1984"/>
      <c r="O43" s="1984"/>
      <c r="P43" s="1984"/>
      <c r="Q43" s="1984"/>
      <c r="R43" s="1984"/>
      <c r="S43" s="1984"/>
      <c r="T43" s="1984"/>
      <c r="U43" s="1984"/>
      <c r="V43" s="1984"/>
      <c r="W43" s="1984"/>
      <c r="X43" s="1984"/>
      <c r="Y43" s="1984"/>
    </row>
    <row r="44" spans="2:25">
      <c r="B44" s="1984"/>
      <c r="C44" s="1984"/>
      <c r="D44" s="1984"/>
      <c r="E44" s="1984"/>
      <c r="F44" s="1984"/>
      <c r="G44" s="1984"/>
      <c r="H44" s="1984"/>
      <c r="I44" s="1984"/>
      <c r="J44" s="1984"/>
      <c r="K44" s="1984"/>
      <c r="L44" s="1984"/>
      <c r="M44" s="1984"/>
      <c r="N44" s="1984"/>
      <c r="O44" s="1984"/>
      <c r="P44" s="1984"/>
      <c r="Q44" s="1984"/>
      <c r="R44" s="1984"/>
      <c r="S44" s="1984"/>
      <c r="T44" s="1984"/>
      <c r="U44" s="1984"/>
      <c r="V44" s="1984"/>
      <c r="W44" s="1984"/>
      <c r="X44" s="1984"/>
      <c r="Y44" s="1984"/>
    </row>
    <row r="45" spans="2:25">
      <c r="B45" s="1984"/>
      <c r="C45" s="1984"/>
      <c r="D45" s="1984"/>
      <c r="E45" s="1984"/>
      <c r="F45" s="1984"/>
      <c r="G45" s="1984"/>
      <c r="H45" s="1984"/>
      <c r="I45" s="1984"/>
      <c r="J45" s="1984"/>
      <c r="K45" s="1984"/>
      <c r="L45" s="1984"/>
      <c r="M45" s="1984"/>
      <c r="N45" s="1984"/>
      <c r="O45" s="1984"/>
      <c r="P45" s="1984"/>
      <c r="Q45" s="1984"/>
      <c r="R45" s="1984"/>
      <c r="S45" s="1984"/>
      <c r="T45" s="1984"/>
      <c r="U45" s="1984"/>
      <c r="V45" s="1984"/>
      <c r="W45" s="1984"/>
      <c r="X45" s="1984"/>
      <c r="Y45" s="1984"/>
    </row>
    <row r="46" spans="2:25">
      <c r="B46" s="1984"/>
      <c r="C46" s="1984"/>
      <c r="D46" s="1984"/>
      <c r="E46" s="1984"/>
      <c r="F46" s="1984"/>
      <c r="G46" s="1984"/>
      <c r="H46" s="1984"/>
      <c r="I46" s="1984"/>
      <c r="J46" s="1984"/>
      <c r="K46" s="1984"/>
      <c r="L46" s="1984"/>
      <c r="M46" s="1984"/>
      <c r="N46" s="1984"/>
      <c r="O46" s="1984"/>
      <c r="P46" s="1984"/>
      <c r="Q46" s="1984"/>
      <c r="R46" s="1984"/>
      <c r="S46" s="1984"/>
      <c r="T46" s="1984"/>
      <c r="U46" s="1984"/>
      <c r="V46" s="1984"/>
      <c r="W46" s="1984"/>
      <c r="X46" s="1984"/>
      <c r="Y46" s="1984"/>
    </row>
    <row r="47" spans="2:25">
      <c r="B47" s="1984"/>
      <c r="C47" s="1984"/>
      <c r="D47" s="1984"/>
      <c r="E47" s="1984"/>
      <c r="F47" s="1984"/>
      <c r="G47" s="1984"/>
      <c r="H47" s="1984"/>
      <c r="I47" s="1984"/>
      <c r="J47" s="1984"/>
      <c r="K47" s="1984"/>
      <c r="L47" s="1984"/>
      <c r="M47" s="1984"/>
      <c r="N47" s="1984"/>
      <c r="O47" s="1984"/>
      <c r="P47" s="1984"/>
      <c r="Q47" s="1984"/>
      <c r="R47" s="1984"/>
      <c r="S47" s="1984"/>
      <c r="T47" s="1984"/>
      <c r="U47" s="1984"/>
      <c r="V47" s="1984"/>
      <c r="W47" s="1984"/>
      <c r="X47" s="1984"/>
      <c r="Y47" s="1984"/>
    </row>
    <row r="48" spans="2:25">
      <c r="B48" s="1984"/>
      <c r="C48" s="1984"/>
      <c r="D48" s="1984"/>
      <c r="E48" s="1984"/>
      <c r="F48" s="1984"/>
      <c r="G48" s="1984"/>
      <c r="H48" s="1984"/>
      <c r="I48" s="1984"/>
      <c r="J48" s="1984"/>
      <c r="K48" s="1984"/>
      <c r="L48" s="1984"/>
      <c r="M48" s="1984"/>
      <c r="N48" s="1984"/>
      <c r="O48" s="1984"/>
      <c r="P48" s="1984"/>
      <c r="Q48" s="1984"/>
      <c r="R48" s="1984"/>
      <c r="S48" s="1984"/>
      <c r="T48" s="1984"/>
      <c r="U48" s="1984"/>
      <c r="V48" s="1984"/>
      <c r="W48" s="1984"/>
      <c r="X48" s="1984"/>
      <c r="Y48" s="1984"/>
    </row>
    <row r="49" spans="2:25">
      <c r="B49" s="1984"/>
      <c r="C49" s="1984"/>
      <c r="D49" s="1984"/>
      <c r="E49" s="1984"/>
      <c r="F49" s="1984"/>
      <c r="G49" s="1984"/>
      <c r="H49" s="1984"/>
      <c r="I49" s="1984"/>
      <c r="J49" s="1984"/>
      <c r="K49" s="1984"/>
      <c r="L49" s="1984"/>
      <c r="M49" s="1984"/>
      <c r="N49" s="1984"/>
      <c r="O49" s="1984"/>
      <c r="P49" s="1984"/>
      <c r="Q49" s="1984"/>
      <c r="R49" s="1984"/>
      <c r="S49" s="1984"/>
      <c r="T49" s="1984"/>
      <c r="U49" s="1984"/>
      <c r="V49" s="1984"/>
      <c r="W49" s="1984"/>
      <c r="X49" s="1984"/>
      <c r="Y49" s="1984"/>
    </row>
    <row r="50" spans="2:25">
      <c r="B50" s="1984"/>
      <c r="C50" s="1984"/>
      <c r="D50" s="1984"/>
      <c r="E50" s="1984"/>
      <c r="F50" s="1984"/>
      <c r="G50" s="1984"/>
      <c r="H50" s="1984"/>
      <c r="I50" s="1984"/>
      <c r="J50" s="1984"/>
      <c r="K50" s="1984"/>
      <c r="L50" s="1984"/>
      <c r="M50" s="1984"/>
      <c r="N50" s="1984"/>
      <c r="O50" s="1984"/>
      <c r="P50" s="1984"/>
      <c r="Q50" s="1984"/>
      <c r="R50" s="1984"/>
      <c r="S50" s="1984"/>
      <c r="T50" s="1984"/>
      <c r="U50" s="1984"/>
      <c r="V50" s="1984"/>
      <c r="W50" s="1984"/>
      <c r="X50" s="1984"/>
      <c r="Y50" s="1984"/>
    </row>
    <row r="51" spans="2:25">
      <c r="B51" s="1984"/>
      <c r="C51" s="1984"/>
      <c r="D51" s="1984"/>
      <c r="E51" s="1984"/>
      <c r="F51" s="1984"/>
      <c r="G51" s="1984"/>
      <c r="H51" s="1984"/>
      <c r="I51" s="1984"/>
      <c r="J51" s="1984"/>
      <c r="K51" s="1984"/>
      <c r="L51" s="1984"/>
      <c r="M51" s="1984"/>
      <c r="N51" s="1984"/>
      <c r="O51" s="1984"/>
      <c r="P51" s="1984"/>
      <c r="Q51" s="1984"/>
      <c r="R51" s="1984"/>
      <c r="S51" s="1984"/>
      <c r="T51" s="1984"/>
      <c r="U51" s="1984"/>
      <c r="V51" s="1984"/>
      <c r="W51" s="1984"/>
      <c r="X51" s="1984"/>
      <c r="Y51" s="1984"/>
    </row>
    <row r="52" spans="2:25">
      <c r="B52" s="1984"/>
      <c r="C52" s="1984"/>
      <c r="D52" s="1984"/>
      <c r="E52" s="1984"/>
      <c r="F52" s="1984"/>
      <c r="G52" s="1984"/>
      <c r="H52" s="1984"/>
      <c r="I52" s="1984"/>
      <c r="J52" s="1984"/>
      <c r="K52" s="1984"/>
      <c r="L52" s="1984"/>
      <c r="M52" s="1984"/>
      <c r="N52" s="1984"/>
      <c r="O52" s="1984"/>
      <c r="P52" s="1984"/>
      <c r="Q52" s="1984"/>
      <c r="R52" s="1984"/>
      <c r="S52" s="1984"/>
      <c r="T52" s="1984"/>
      <c r="U52" s="1984"/>
      <c r="V52" s="1984"/>
      <c r="W52" s="1984"/>
      <c r="X52" s="1984"/>
      <c r="Y52" s="1984"/>
    </row>
    <row r="53" spans="2:25">
      <c r="B53" s="1984"/>
      <c r="C53" s="1984"/>
      <c r="D53" s="1984"/>
      <c r="E53" s="1984"/>
      <c r="F53" s="1984"/>
      <c r="G53" s="1984"/>
      <c r="H53" s="1984"/>
      <c r="I53" s="1984"/>
      <c r="J53" s="1984"/>
      <c r="K53" s="1984"/>
      <c r="L53" s="1984"/>
      <c r="M53" s="1984"/>
      <c r="N53" s="1984"/>
      <c r="O53" s="1984"/>
      <c r="P53" s="1984"/>
      <c r="Q53" s="1984"/>
      <c r="R53" s="1984"/>
      <c r="S53" s="1984"/>
      <c r="T53" s="1984"/>
      <c r="U53" s="1984"/>
      <c r="V53" s="1984"/>
      <c r="W53" s="1984"/>
      <c r="X53" s="1984"/>
      <c r="Y53" s="1984"/>
    </row>
    <row r="54" spans="2:25">
      <c r="B54" s="1984"/>
      <c r="C54" s="1984"/>
      <c r="D54" s="1984"/>
      <c r="E54" s="1984"/>
      <c r="F54" s="1984"/>
      <c r="G54" s="1984"/>
      <c r="H54" s="1984"/>
      <c r="I54" s="1984"/>
      <c r="J54" s="1984"/>
      <c r="K54" s="1984"/>
      <c r="L54" s="1984"/>
      <c r="M54" s="1984"/>
      <c r="N54" s="1984"/>
      <c r="O54" s="1984"/>
      <c r="P54" s="1984"/>
      <c r="Q54" s="1984"/>
      <c r="R54" s="1984"/>
      <c r="S54" s="1984"/>
      <c r="T54" s="1984"/>
      <c r="U54" s="1984"/>
      <c r="V54" s="1984"/>
      <c r="W54" s="1984"/>
      <c r="X54" s="1984"/>
      <c r="Y54" s="1984"/>
    </row>
    <row r="55" spans="2:25">
      <c r="B55" s="1984"/>
      <c r="C55" s="1984"/>
      <c r="D55" s="1984"/>
      <c r="E55" s="1984"/>
      <c r="F55" s="1984"/>
      <c r="G55" s="1984"/>
      <c r="H55" s="1984"/>
      <c r="I55" s="1984"/>
      <c r="J55" s="1984"/>
      <c r="K55" s="1984"/>
      <c r="L55" s="1984"/>
      <c r="M55" s="1984"/>
      <c r="N55" s="1984"/>
      <c r="O55" s="1984"/>
      <c r="P55" s="1984"/>
      <c r="Q55" s="1984"/>
      <c r="R55" s="1984"/>
      <c r="S55" s="1984"/>
      <c r="T55" s="1984"/>
      <c r="U55" s="1984"/>
      <c r="V55" s="1984"/>
      <c r="W55" s="1984"/>
      <c r="X55" s="1984"/>
      <c r="Y55" s="1984"/>
    </row>
    <row r="56" spans="2:25">
      <c r="B56" s="1984"/>
      <c r="C56" s="1984"/>
      <c r="D56" s="1984"/>
      <c r="E56" s="1984"/>
      <c r="F56" s="1984"/>
      <c r="G56" s="1984"/>
      <c r="H56" s="1984"/>
      <c r="I56" s="1984"/>
      <c r="J56" s="1984"/>
      <c r="K56" s="1984"/>
      <c r="L56" s="1984"/>
      <c r="M56" s="1984"/>
      <c r="N56" s="1984"/>
      <c r="O56" s="1984"/>
      <c r="P56" s="1984"/>
      <c r="Q56" s="1984"/>
      <c r="R56" s="1984"/>
      <c r="S56" s="1984"/>
      <c r="T56" s="1984"/>
      <c r="U56" s="1984"/>
      <c r="V56" s="1984"/>
      <c r="W56" s="1984"/>
      <c r="X56" s="1984"/>
      <c r="Y56" s="1984"/>
    </row>
    <row r="57" spans="2:25">
      <c r="B57" s="1984"/>
      <c r="C57" s="1984"/>
      <c r="D57" s="1984"/>
      <c r="E57" s="1984"/>
      <c r="F57" s="1984"/>
      <c r="G57" s="1984"/>
      <c r="H57" s="1984"/>
      <c r="I57" s="1984"/>
      <c r="J57" s="1984"/>
      <c r="K57" s="1984"/>
      <c r="L57" s="1984"/>
      <c r="M57" s="1984"/>
      <c r="N57" s="1984"/>
      <c r="O57" s="1984"/>
      <c r="P57" s="1984"/>
      <c r="Q57" s="1984"/>
      <c r="R57" s="1984"/>
      <c r="S57" s="1984"/>
      <c r="T57" s="1984"/>
      <c r="U57" s="1984"/>
      <c r="V57" s="1984"/>
      <c r="W57" s="1984"/>
      <c r="X57" s="1984"/>
      <c r="Y57" s="1984"/>
    </row>
    <row r="58" spans="2:25">
      <c r="B58" s="1984"/>
      <c r="C58" s="1984"/>
      <c r="D58" s="1984"/>
      <c r="E58" s="1984"/>
      <c r="F58" s="1984"/>
      <c r="G58" s="1984"/>
      <c r="H58" s="1984"/>
      <c r="I58" s="1984"/>
      <c r="J58" s="1984"/>
      <c r="K58" s="1984"/>
      <c r="L58" s="1984"/>
      <c r="M58" s="1984"/>
      <c r="N58" s="1984"/>
      <c r="O58" s="1984"/>
      <c r="P58" s="1984"/>
      <c r="Q58" s="1984"/>
      <c r="R58" s="1984"/>
      <c r="S58" s="1984"/>
      <c r="T58" s="1984"/>
      <c r="U58" s="1984"/>
      <c r="V58" s="1984"/>
      <c r="W58" s="1984"/>
      <c r="X58" s="1984"/>
      <c r="Y58" s="1984"/>
    </row>
    <row r="59" spans="2:25">
      <c r="B59" s="1984"/>
      <c r="C59" s="1984"/>
      <c r="D59" s="1984"/>
      <c r="E59" s="1984"/>
      <c r="F59" s="1984"/>
      <c r="G59" s="1984"/>
      <c r="H59" s="1984"/>
      <c r="I59" s="1984"/>
      <c r="J59" s="1984"/>
      <c r="K59" s="1984"/>
      <c r="L59" s="1984"/>
      <c r="M59" s="1984"/>
      <c r="N59" s="1984"/>
      <c r="O59" s="1984"/>
      <c r="P59" s="1984"/>
      <c r="Q59" s="1984"/>
      <c r="R59" s="1984"/>
      <c r="S59" s="1984"/>
      <c r="T59" s="1984"/>
      <c r="U59" s="1984"/>
      <c r="V59" s="1984"/>
      <c r="W59" s="1984"/>
      <c r="X59" s="1984"/>
      <c r="Y59" s="1984"/>
    </row>
    <row r="60" spans="2:25">
      <c r="B60" s="1984"/>
      <c r="C60" s="1984"/>
      <c r="D60" s="1984"/>
      <c r="E60" s="1984"/>
      <c r="F60" s="1984"/>
      <c r="G60" s="1984"/>
      <c r="H60" s="1984"/>
      <c r="I60" s="1984"/>
      <c r="J60" s="1984"/>
      <c r="K60" s="1984"/>
      <c r="L60" s="1984"/>
      <c r="M60" s="1984"/>
      <c r="N60" s="1984"/>
      <c r="O60" s="1984"/>
      <c r="P60" s="1984"/>
      <c r="Q60" s="1984"/>
      <c r="R60" s="1984"/>
      <c r="S60" s="1984"/>
      <c r="T60" s="1984"/>
      <c r="U60" s="1984"/>
      <c r="V60" s="1984"/>
      <c r="W60" s="1984"/>
      <c r="X60" s="1984"/>
      <c r="Y60" s="1984"/>
    </row>
    <row r="61" spans="2:25">
      <c r="B61" s="1984"/>
      <c r="C61" s="1984"/>
      <c r="D61" s="1984"/>
      <c r="E61" s="1984"/>
      <c r="F61" s="1984"/>
      <c r="G61" s="1984"/>
      <c r="H61" s="1984"/>
      <c r="I61" s="1984"/>
      <c r="J61" s="1984"/>
      <c r="K61" s="1984"/>
      <c r="L61" s="1984"/>
      <c r="M61" s="1984"/>
      <c r="N61" s="1984"/>
      <c r="O61" s="1984"/>
      <c r="P61" s="1984"/>
      <c r="Q61" s="1984"/>
      <c r="R61" s="1984"/>
      <c r="S61" s="1984"/>
      <c r="T61" s="1984"/>
      <c r="U61" s="1984"/>
      <c r="V61" s="1984"/>
      <c r="W61" s="1984"/>
      <c r="X61" s="1984"/>
      <c r="Y61" s="1984"/>
    </row>
    <row r="62" spans="2:25">
      <c r="B62" s="1984"/>
      <c r="C62" s="1984"/>
      <c r="D62" s="1984"/>
      <c r="E62" s="1984"/>
      <c r="F62" s="1984"/>
      <c r="G62" s="1984"/>
      <c r="H62" s="1984"/>
      <c r="I62" s="1984"/>
      <c r="J62" s="1984"/>
      <c r="K62" s="1984"/>
      <c r="L62" s="1984"/>
      <c r="M62" s="1984"/>
      <c r="N62" s="1984"/>
      <c r="O62" s="1984"/>
      <c r="P62" s="1984"/>
      <c r="Q62" s="1984"/>
      <c r="R62" s="1984"/>
      <c r="S62" s="1984"/>
      <c r="T62" s="1984"/>
      <c r="U62" s="1984"/>
      <c r="V62" s="1984"/>
      <c r="W62" s="1984"/>
      <c r="X62" s="1984"/>
      <c r="Y62" s="1984"/>
    </row>
    <row r="63" spans="2:25">
      <c r="B63" s="1984"/>
      <c r="C63" s="1984"/>
      <c r="D63" s="1984"/>
      <c r="E63" s="1984"/>
      <c r="F63" s="1984"/>
      <c r="G63" s="1984"/>
      <c r="H63" s="1984"/>
      <c r="I63" s="1984"/>
      <c r="J63" s="1984"/>
      <c r="K63" s="1984"/>
      <c r="L63" s="1984"/>
      <c r="M63" s="1984"/>
      <c r="N63" s="1984"/>
      <c r="O63" s="1984"/>
      <c r="P63" s="1984"/>
      <c r="Q63" s="1984"/>
      <c r="R63" s="1984"/>
      <c r="S63" s="1984"/>
      <c r="T63" s="1984"/>
      <c r="U63" s="1984"/>
      <c r="V63" s="1984"/>
      <c r="W63" s="1984"/>
      <c r="X63" s="1984"/>
      <c r="Y63" s="1984"/>
    </row>
    <row r="64" spans="2:25">
      <c r="B64" s="1984"/>
      <c r="C64" s="1984"/>
      <c r="D64" s="1984"/>
      <c r="E64" s="1984"/>
      <c r="F64" s="1984"/>
      <c r="G64" s="1984"/>
      <c r="H64" s="1984"/>
      <c r="I64" s="1984"/>
      <c r="J64" s="1984"/>
      <c r="K64" s="1984"/>
      <c r="L64" s="1984"/>
      <c r="M64" s="1984"/>
      <c r="N64" s="1984"/>
      <c r="O64" s="1984"/>
      <c r="P64" s="1984"/>
      <c r="Q64" s="1984"/>
      <c r="R64" s="1984"/>
      <c r="S64" s="1984"/>
      <c r="T64" s="1984"/>
      <c r="U64" s="1984"/>
      <c r="V64" s="1984"/>
      <c r="W64" s="1984"/>
      <c r="X64" s="1984"/>
      <c r="Y64" s="1984"/>
    </row>
    <row r="65" spans="2:25">
      <c r="B65" s="1984"/>
      <c r="C65" s="1984"/>
      <c r="D65" s="1984"/>
      <c r="E65" s="1984"/>
      <c r="F65" s="1984"/>
      <c r="G65" s="1984"/>
      <c r="H65" s="1984"/>
      <c r="I65" s="1984"/>
      <c r="J65" s="1984"/>
      <c r="K65" s="1984"/>
      <c r="L65" s="1984"/>
      <c r="M65" s="1984"/>
      <c r="N65" s="1984"/>
      <c r="O65" s="1984"/>
      <c r="P65" s="1984"/>
      <c r="Q65" s="1984"/>
      <c r="R65" s="1984"/>
      <c r="S65" s="1984"/>
      <c r="T65" s="1984"/>
      <c r="U65" s="1984"/>
      <c r="V65" s="1984"/>
      <c r="W65" s="1984"/>
      <c r="X65" s="1984"/>
      <c r="Y65" s="1984"/>
    </row>
    <row r="66" spans="2:25">
      <c r="B66" s="1984"/>
      <c r="C66" s="1984"/>
      <c r="D66" s="1984"/>
      <c r="E66" s="1984"/>
      <c r="F66" s="1984"/>
      <c r="G66" s="1984"/>
      <c r="H66" s="1984"/>
      <c r="I66" s="1984"/>
      <c r="J66" s="1984"/>
      <c r="K66" s="1984"/>
      <c r="L66" s="1984"/>
      <c r="M66" s="1984"/>
      <c r="N66" s="1984"/>
      <c r="O66" s="1984"/>
      <c r="P66" s="1984"/>
      <c r="Q66" s="1984"/>
      <c r="R66" s="1984"/>
      <c r="S66" s="1984"/>
      <c r="T66" s="1984"/>
      <c r="U66" s="1984"/>
      <c r="V66" s="1984"/>
      <c r="W66" s="1984"/>
      <c r="X66" s="1984"/>
      <c r="Y66" s="1984"/>
    </row>
    <row r="67" spans="2:25">
      <c r="B67" s="1984"/>
      <c r="C67" s="1984"/>
      <c r="D67" s="1984"/>
      <c r="E67" s="1984"/>
      <c r="F67" s="1984"/>
      <c r="G67" s="1984"/>
      <c r="H67" s="1984"/>
      <c r="I67" s="1984"/>
      <c r="J67" s="1984"/>
      <c r="K67" s="1984"/>
      <c r="L67" s="1984"/>
      <c r="M67" s="1984"/>
      <c r="N67" s="1984"/>
      <c r="O67" s="1984"/>
      <c r="P67" s="1984"/>
      <c r="Q67" s="1984"/>
      <c r="R67" s="1984"/>
      <c r="S67" s="1984"/>
      <c r="T67" s="1984"/>
      <c r="U67" s="1984"/>
      <c r="V67" s="1984"/>
      <c r="W67" s="1984"/>
      <c r="X67" s="1984"/>
      <c r="Y67" s="1984"/>
    </row>
    <row r="68" spans="2:25">
      <c r="B68" s="1984"/>
      <c r="C68" s="1984"/>
      <c r="D68" s="1984"/>
      <c r="E68" s="1984"/>
      <c r="F68" s="1984"/>
      <c r="G68" s="1984"/>
      <c r="H68" s="1984"/>
      <c r="I68" s="1984"/>
      <c r="J68" s="1984"/>
      <c r="K68" s="1984"/>
      <c r="L68" s="1984"/>
      <c r="M68" s="1984"/>
      <c r="N68" s="1984"/>
      <c r="O68" s="1984"/>
      <c r="P68" s="1984"/>
      <c r="Q68" s="1984"/>
      <c r="R68" s="1984"/>
      <c r="S68" s="1984"/>
      <c r="T68" s="1984"/>
      <c r="U68" s="1984"/>
      <c r="V68" s="1984"/>
      <c r="W68" s="1984"/>
      <c r="X68" s="1984"/>
      <c r="Y68" s="1984"/>
    </row>
    <row r="69" spans="2:25">
      <c r="B69" s="1984"/>
      <c r="C69" s="1984"/>
      <c r="D69" s="1984"/>
      <c r="E69" s="1984"/>
      <c r="F69" s="1984"/>
      <c r="G69" s="1984"/>
      <c r="H69" s="1984"/>
      <c r="I69" s="1984"/>
      <c r="J69" s="1984"/>
      <c r="K69" s="1984"/>
      <c r="L69" s="1984"/>
      <c r="M69" s="1984"/>
      <c r="N69" s="1984"/>
      <c r="O69" s="1984"/>
      <c r="P69" s="1984"/>
      <c r="Q69" s="1984"/>
      <c r="R69" s="1984"/>
      <c r="S69" s="1984"/>
      <c r="T69" s="1984"/>
      <c r="U69" s="1984"/>
      <c r="V69" s="1984"/>
      <c r="W69" s="1984"/>
      <c r="X69" s="1984"/>
      <c r="Y69" s="1984"/>
    </row>
    <row r="70" spans="2:25">
      <c r="B70" s="1984"/>
      <c r="C70" s="1984"/>
      <c r="D70" s="1984"/>
      <c r="E70" s="1984"/>
      <c r="F70" s="1984"/>
      <c r="G70" s="1984"/>
      <c r="H70" s="1984"/>
      <c r="I70" s="1984"/>
      <c r="J70" s="1984"/>
      <c r="K70" s="1984"/>
      <c r="L70" s="1984"/>
      <c r="M70" s="1984"/>
      <c r="N70" s="1984"/>
      <c r="O70" s="1984"/>
      <c r="P70" s="1984"/>
      <c r="Q70" s="1984"/>
      <c r="R70" s="1984"/>
      <c r="S70" s="1984"/>
      <c r="T70" s="1984"/>
      <c r="U70" s="1984"/>
      <c r="V70" s="1984"/>
      <c r="W70" s="1984"/>
      <c r="X70" s="1984"/>
      <c r="Y70" s="1984"/>
    </row>
    <row r="71" spans="2:25">
      <c r="B71" s="1984"/>
      <c r="C71" s="1984"/>
      <c r="D71" s="1984"/>
      <c r="E71" s="1984"/>
      <c r="F71" s="1984"/>
      <c r="G71" s="1984"/>
      <c r="H71" s="1984"/>
      <c r="I71" s="1984"/>
      <c r="J71" s="1984"/>
      <c r="K71" s="1984"/>
      <c r="L71" s="1984"/>
      <c r="M71" s="1984"/>
      <c r="N71" s="1984"/>
      <c r="O71" s="1984"/>
      <c r="P71" s="1984"/>
      <c r="Q71" s="1984"/>
      <c r="R71" s="1984"/>
      <c r="S71" s="1984"/>
      <c r="T71" s="1984"/>
      <c r="U71" s="1984"/>
      <c r="V71" s="1984"/>
      <c r="W71" s="1984"/>
      <c r="X71" s="1984"/>
      <c r="Y71" s="1984"/>
    </row>
    <row r="72" spans="2:25">
      <c r="B72" s="1984"/>
      <c r="C72" s="1984"/>
      <c r="D72" s="1984"/>
      <c r="E72" s="1984"/>
      <c r="F72" s="1984"/>
      <c r="G72" s="1984"/>
      <c r="H72" s="1984"/>
      <c r="I72" s="1984"/>
      <c r="J72" s="1984"/>
      <c r="K72" s="1984"/>
      <c r="L72" s="1984"/>
      <c r="M72" s="1984"/>
      <c r="N72" s="1984"/>
      <c r="O72" s="1984"/>
      <c r="P72" s="1984"/>
      <c r="Q72" s="1984"/>
      <c r="R72" s="1984"/>
      <c r="S72" s="1984"/>
      <c r="T72" s="1984"/>
      <c r="U72" s="1984"/>
      <c r="V72" s="1984"/>
      <c r="W72" s="1984"/>
      <c r="X72" s="1984"/>
      <c r="Y72" s="1984"/>
    </row>
    <row r="73" spans="2:25">
      <c r="B73" s="1984"/>
      <c r="C73" s="1984"/>
      <c r="D73" s="1984"/>
      <c r="E73" s="1984"/>
      <c r="F73" s="1984"/>
      <c r="G73" s="1984"/>
      <c r="H73" s="1984"/>
      <c r="I73" s="1984"/>
      <c r="J73" s="1984"/>
      <c r="K73" s="1984"/>
      <c r="L73" s="1984"/>
      <c r="M73" s="1984"/>
      <c r="N73" s="1984"/>
      <c r="O73" s="1984"/>
      <c r="P73" s="1984"/>
      <c r="Q73" s="1984"/>
      <c r="R73" s="1984"/>
      <c r="S73" s="1984"/>
      <c r="T73" s="1984"/>
      <c r="U73" s="1984"/>
      <c r="V73" s="1984"/>
      <c r="W73" s="1984"/>
      <c r="X73" s="1984"/>
      <c r="Y73" s="1984"/>
    </row>
  </sheetData>
  <dataConsolidate/>
  <customSheetViews>
    <customSheetView guid="{83D69B98-1714-4D17-901F-87B47BE66947}" scale="80" showPageBreaks="1" showGridLines="0" printArea="1">
      <selection activeCell="P17" sqref="P17"/>
      <pageMargins left="0.25" right="0.25" top="0.5" bottom="0.25" header="0.5" footer="0.25"/>
      <printOptions horizontalCentered="1"/>
      <pageSetup scale="50" firstPageNumber="45" orientation="landscape" useFirstPageNumber="1" r:id="rId1"/>
      <headerFooter scaleWithDoc="0" alignWithMargins="0">
        <oddFooter>&amp;C&amp;8&amp;P</oddFooter>
      </headerFooter>
    </customSheetView>
    <customSheetView guid="{F9AE1502-86F7-4AAA-AE66-F6A75A634C1B}" scale="80" showPageBreaks="1" showGridLines="0" printArea="1">
      <selection activeCell="P15" sqref="P15:P28"/>
      <pageMargins left="0.25" right="0.25" top="0.5" bottom="0.25" header="0.5" footer="0.25"/>
      <printOptions horizontalCentered="1"/>
      <pageSetup scale="50" firstPageNumber="45" orientation="landscape" useFirstPageNumber="1" r:id="rId2"/>
      <headerFooter scaleWithDoc="0" alignWithMargins="0">
        <oddFooter>&amp;C&amp;8&amp;P</oddFooter>
      </headerFooter>
    </customSheetView>
    <customSheetView guid="{C41E3923-0A88-49D0-AE43-0E74D386A056}" scale="80" showPageBreaks="1" showGridLines="0" printArea="1">
      <selection activeCell="P15" sqref="P15:P28"/>
      <pageMargins left="0.25" right="0.25" top="0.5" bottom="0.25" header="0.5" footer="0.25"/>
      <printOptions horizontalCentered="1"/>
      <pageSetup scale="50" firstPageNumber="45" orientation="landscape" useFirstPageNumber="1" r:id="rId3"/>
      <headerFooter scaleWithDoc="0" alignWithMargins="0">
        <oddFooter>&amp;C&amp;8&amp;P</oddFooter>
      </headerFooter>
    </customSheetView>
    <customSheetView guid="{1DF171D7-3BFC-49F6-B708-0F91FCFAB6E2}" scale="80" showPageBreaks="1" showGridLines="0" printArea="1">
      <selection activeCell="P15" sqref="P15:P28"/>
      <pageMargins left="0.25" right="0.25" top="0.5" bottom="0.25" header="0.5" footer="0.25"/>
      <printOptions horizontalCentered="1"/>
      <pageSetup scale="50" firstPageNumber="45" orientation="landscape" useFirstPageNumber="1" r:id="rId4"/>
      <headerFooter scaleWithDoc="0" alignWithMargins="0">
        <oddFooter>&amp;C&amp;8&amp;P</oddFooter>
      </headerFooter>
    </customSheetView>
    <customSheetView guid="{9F00D83C-7F4F-41B5-9976-8610D9EBC976}" scale="80" showPageBreaks="1" showGridLines="0" printArea="1">
      <selection activeCell="P15" sqref="P15:P28"/>
      <pageMargins left="0.25" right="0.25" top="0.5" bottom="0.25" header="0.5" footer="0.25"/>
      <printOptions horizontalCentered="1"/>
      <pageSetup scale="50" firstPageNumber="45" orientation="landscape" useFirstPageNumber="1" r:id="rId5"/>
      <headerFooter scaleWithDoc="0" alignWithMargins="0">
        <oddFooter>&amp;C&amp;8&amp;P</oddFooter>
      </headerFooter>
    </customSheetView>
    <customSheetView guid="{D1467C25-646C-4F1A-9353-0E890E575522}" scale="80" showPageBreaks="1" showGridLines="0" printArea="1">
      <selection activeCell="P17" sqref="P17"/>
      <pageMargins left="0.25" right="0.25" top="0.5" bottom="0.25" header="0.5" footer="0.25"/>
      <printOptions horizontalCentered="1"/>
      <pageSetup scale="50" firstPageNumber="45" orientation="landscape" useFirstPageNumber="1" r:id="rId6"/>
      <headerFooter scaleWithDoc="0" alignWithMargins="0">
        <oddFooter>&amp;C&amp;8&amp;P</oddFooter>
      </headerFooter>
    </customSheetView>
    <customSheetView guid="{3A50DD26-AAF5-43D4-97DE-BAE3367A2F29}" scale="80" showPageBreaks="1" showGridLines="0" printArea="1">
      <selection activeCell="P15" sqref="P15:P28"/>
      <pageMargins left="0.25" right="0.25" top="0.5" bottom="0.25" header="0.5" footer="0.25"/>
      <printOptions horizontalCentered="1"/>
      <pageSetup scale="50" firstPageNumber="45" orientation="landscape" useFirstPageNumber="1" r:id="rId7"/>
      <headerFooter scaleWithDoc="0" alignWithMargins="0">
        <oddFooter>&amp;C&amp;8&amp;P</oddFooter>
      </headerFooter>
    </customSheetView>
    <customSheetView guid="{C3636880-B45B-4897-94F2-F91976416934}" scale="80" showPageBreaks="1" showGridLines="0" printArea="1">
      <selection activeCell="P15" sqref="P15:P28"/>
      <pageMargins left="0.25" right="0.25" top="0.5" bottom="0.25" header="0.5" footer="0.25"/>
      <printOptions horizontalCentered="1"/>
      <pageSetup scale="50" firstPageNumber="45" orientation="landscape" useFirstPageNumber="1" r:id="rId8"/>
      <headerFooter scaleWithDoc="0" alignWithMargins="0">
        <oddFooter>&amp;C&amp;8&amp;P</oddFooter>
      </headerFooter>
    </customSheetView>
  </customSheetViews>
  <printOptions horizontalCentered="1"/>
  <pageMargins left="0.25" right="0.25" top="0.5" bottom="0.25" header="0.5" footer="0.25"/>
  <pageSetup scale="50" firstPageNumber="45" orientation="landscape" useFirstPageNumber="1" r:id="rId9"/>
  <headerFooter scaleWithDoc="0" alignWithMargins="0">
    <oddFooter>&amp;C&amp;8&amp;P</oddFooter>
  </headerFooter>
  <customProperties>
    <customPr name="SheetOptions" r:id="rId10"/>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8671875" defaultRowHeight="15"/>
  <cols>
    <col min="1" max="1" width="2.109375" style="303" customWidth="1"/>
    <col min="2" max="4" width="9.88671875" style="303" customWidth="1"/>
    <col min="5" max="5" width="10.44140625" style="303" customWidth="1"/>
    <col min="6" max="6" width="14.88671875" style="303" customWidth="1"/>
    <col min="7" max="7" width="1.109375" style="303" customWidth="1"/>
    <col min="8" max="8" width="16.88671875" style="303" customWidth="1"/>
    <col min="9" max="9" width="1.109375" style="303" customWidth="1"/>
    <col min="10" max="10" width="16.88671875" style="303" bestFit="1" customWidth="1"/>
    <col min="11" max="11" width="9.88671875" style="303" customWidth="1"/>
    <col min="12" max="12" width="15.88671875" style="303" customWidth="1"/>
    <col min="13" max="16384" width="8.88671875" style="303"/>
  </cols>
  <sheetData>
    <row r="1" spans="2:12">
      <c r="B1" s="898" t="s">
        <v>97</v>
      </c>
    </row>
    <row r="2" spans="2:12">
      <c r="B2" s="355"/>
    </row>
    <row r="3" spans="2:12" ht="15.75">
      <c r="B3" s="304" t="s">
        <v>98</v>
      </c>
      <c r="J3" s="429" t="s">
        <v>889</v>
      </c>
    </row>
    <row r="4" spans="2:12" ht="15.75">
      <c r="B4" s="356" t="s">
        <v>890</v>
      </c>
    </row>
    <row r="5" spans="2:12" ht="15.75">
      <c r="B5" s="657" t="str">
        <f>'Sch 1 '!A8</f>
        <v>FOR THE MONTH OF JUNE 2026</v>
      </c>
      <c r="C5" s="658"/>
      <c r="D5" s="658"/>
      <c r="E5" s="658"/>
      <c r="F5" s="658"/>
      <c r="G5" s="658"/>
      <c r="H5" s="658"/>
      <c r="I5" s="658"/>
      <c r="J5" s="658"/>
      <c r="K5" s="658"/>
      <c r="L5" s="658"/>
    </row>
    <row r="6" spans="2:12" ht="15.75">
      <c r="B6" s="657" t="s">
        <v>891</v>
      </c>
      <c r="C6" s="658"/>
      <c r="D6" s="658"/>
      <c r="E6" s="658"/>
      <c r="F6" s="658"/>
      <c r="G6" s="658"/>
      <c r="H6" s="658"/>
      <c r="I6" s="658"/>
      <c r="J6" s="658"/>
      <c r="K6" s="658"/>
      <c r="L6" s="658"/>
    </row>
    <row r="7" spans="2:12" ht="12.6" customHeight="1">
      <c r="B7" s="657" t="s">
        <v>102</v>
      </c>
      <c r="C7" s="659"/>
      <c r="D7" s="659"/>
      <c r="E7" s="659"/>
      <c r="F7" s="659"/>
      <c r="G7" s="659"/>
      <c r="H7" s="659"/>
      <c r="I7" s="659"/>
      <c r="J7" s="659"/>
      <c r="K7" s="659"/>
      <c r="L7" s="659"/>
    </row>
    <row r="8" spans="2:12">
      <c r="B8" s="108"/>
      <c r="G8" s="108"/>
      <c r="I8" s="108"/>
    </row>
    <row r="9" spans="2:12" ht="15.75">
      <c r="B9" s="108"/>
      <c r="F9" s="109" t="s">
        <v>109</v>
      </c>
      <c r="G9" s="108"/>
      <c r="H9" s="110" t="s">
        <v>892</v>
      </c>
      <c r="I9" s="108"/>
      <c r="J9" s="109" t="s">
        <v>893</v>
      </c>
    </row>
    <row r="10" spans="2:12" ht="15.75">
      <c r="B10" s="108"/>
      <c r="F10" s="110" t="str">
        <f>Footnotes!$O$3</f>
        <v>JUNE 2026</v>
      </c>
      <c r="G10" s="108"/>
      <c r="H10" s="110" t="s">
        <v>894</v>
      </c>
      <c r="I10" s="108"/>
      <c r="J10" s="110" t="s">
        <v>895</v>
      </c>
    </row>
    <row r="11" spans="2:12" ht="15.75">
      <c r="B11" s="108"/>
      <c r="F11" s="627"/>
      <c r="G11" s="108"/>
      <c r="H11" s="627" t="s">
        <v>103</v>
      </c>
      <c r="I11" s="108"/>
      <c r="J11" s="627"/>
    </row>
    <row r="12" spans="2:12" ht="15.75">
      <c r="B12" s="111" t="s">
        <v>896</v>
      </c>
      <c r="G12" s="108"/>
      <c r="H12" s="303" t="s">
        <v>103</v>
      </c>
      <c r="I12" s="108"/>
    </row>
    <row r="13" spans="2:12">
      <c r="B13" s="108"/>
      <c r="G13" s="108"/>
      <c r="I13" s="108"/>
    </row>
    <row r="14" spans="2:12">
      <c r="B14" s="279" t="s">
        <v>897</v>
      </c>
      <c r="F14" s="496">
        <v>90433.3</v>
      </c>
      <c r="G14" s="496"/>
      <c r="H14" s="874">
        <v>90078.9</v>
      </c>
      <c r="I14" s="496"/>
      <c r="J14" s="496">
        <v>87392.4</v>
      </c>
    </row>
    <row r="15" spans="2:12">
      <c r="B15" s="279" t="s">
        <v>898</v>
      </c>
      <c r="F15" s="846">
        <v>3.8240000000000003E-2</v>
      </c>
      <c r="G15" s="301"/>
      <c r="H15" s="875">
        <v>3.7530000000000001E-2</v>
      </c>
      <c r="I15" s="301"/>
      <c r="J15" s="846">
        <v>4.3409999999999997E-2</v>
      </c>
    </row>
    <row r="16" spans="2:12">
      <c r="B16" s="301" t="s">
        <v>899</v>
      </c>
      <c r="F16" s="847">
        <v>288.04899999999998</v>
      </c>
      <c r="G16" s="876"/>
      <c r="H16" s="877">
        <v>854.78</v>
      </c>
      <c r="I16" s="369"/>
      <c r="J16" s="847">
        <v>952.58600000000001</v>
      </c>
    </row>
    <row r="17" spans="2:11">
      <c r="B17" s="108"/>
      <c r="K17" s="108"/>
    </row>
    <row r="18" spans="2:11">
      <c r="B18" s="108"/>
      <c r="K18" s="108"/>
    </row>
    <row r="19" spans="2:11" ht="15" customHeight="1">
      <c r="B19" s="108"/>
      <c r="K19" s="108"/>
    </row>
    <row r="20" spans="2:11" ht="18">
      <c r="B20" s="359" t="s">
        <v>900</v>
      </c>
      <c r="C20" s="360"/>
      <c r="D20" s="360"/>
      <c r="K20" s="108"/>
    </row>
    <row r="21" spans="2:11">
      <c r="B21" s="108"/>
      <c r="G21" s="257"/>
      <c r="H21" s="257" t="str">
        <f>F10</f>
        <v>JUNE 2026</v>
      </c>
      <c r="I21" s="679"/>
      <c r="J21" s="679" t="str">
        <f>UPPER(TEXT(H21-365,"MMMM YYYY"))</f>
        <v>JUNE 2025</v>
      </c>
      <c r="K21" s="1648"/>
    </row>
    <row r="22" spans="2:11">
      <c r="B22" s="108"/>
      <c r="C22" s="361" t="s">
        <v>901</v>
      </c>
      <c r="E22" s="301" t="s">
        <v>103</v>
      </c>
      <c r="G22" s="362"/>
      <c r="H22" s="1257" t="s">
        <v>902</v>
      </c>
      <c r="I22" s="362"/>
      <c r="J22" s="1257" t="s">
        <v>902</v>
      </c>
      <c r="K22" s="108"/>
    </row>
    <row r="23" spans="2:11">
      <c r="B23" s="108"/>
      <c r="C23" s="301" t="s">
        <v>903</v>
      </c>
      <c r="G23" s="497"/>
      <c r="H23" s="498">
        <v>64209.4</v>
      </c>
      <c r="I23" s="497"/>
      <c r="J23" s="498">
        <v>55241</v>
      </c>
      <c r="K23" s="108"/>
    </row>
    <row r="24" spans="2:11">
      <c r="B24" s="108"/>
      <c r="C24" s="301" t="s">
        <v>904</v>
      </c>
      <c r="G24" s="497"/>
      <c r="H24" s="499">
        <v>572.79999999999995</v>
      </c>
      <c r="I24" s="497"/>
      <c r="J24" s="499">
        <v>239.7</v>
      </c>
      <c r="K24" s="108"/>
    </row>
    <row r="25" spans="2:11">
      <c r="B25" s="108"/>
      <c r="C25" s="301" t="s">
        <v>905</v>
      </c>
      <c r="G25" s="497"/>
      <c r="H25" s="499">
        <v>774</v>
      </c>
      <c r="I25" s="497"/>
      <c r="J25" s="499">
        <v>300</v>
      </c>
      <c r="K25" s="108"/>
    </row>
    <row r="26" spans="2:11">
      <c r="B26" s="108"/>
      <c r="C26" s="301" t="s">
        <v>906</v>
      </c>
      <c r="G26" s="500"/>
      <c r="H26" s="499">
        <v>32310.9</v>
      </c>
      <c r="I26" s="500"/>
      <c r="J26" s="499">
        <v>25105.8</v>
      </c>
      <c r="K26" s="108" t="s">
        <v>103</v>
      </c>
    </row>
    <row r="27" spans="2:11">
      <c r="B27" s="108"/>
      <c r="C27" s="301" t="s">
        <v>907</v>
      </c>
      <c r="G27" s="500"/>
      <c r="H27" s="499">
        <v>3287</v>
      </c>
      <c r="I27" s="500"/>
      <c r="J27" s="499">
        <v>2465.8000000000002</v>
      </c>
      <c r="K27" s="108" t="s">
        <v>103</v>
      </c>
    </row>
    <row r="28" spans="2:11">
      <c r="B28" s="108"/>
      <c r="C28" s="301" t="s">
        <v>908</v>
      </c>
      <c r="G28" s="500"/>
      <c r="H28" s="499">
        <v>13</v>
      </c>
      <c r="I28" s="500"/>
      <c r="J28" s="499">
        <v>53</v>
      </c>
      <c r="K28" s="108"/>
    </row>
    <row r="29" spans="2:11" ht="16.5" thickBot="1">
      <c r="B29" s="108"/>
      <c r="G29" s="112"/>
      <c r="H29" s="628">
        <f>ROUND(SUM(H23:H28),1)</f>
        <v>101167.1</v>
      </c>
      <c r="I29" s="112"/>
      <c r="J29" s="628">
        <f>ROUND(SUM(J23:J28),1)</f>
        <v>83405.3</v>
      </c>
      <c r="K29" s="108"/>
    </row>
    <row r="30" spans="2:11" ht="15.75" thickTop="1">
      <c r="B30" s="108"/>
      <c r="G30" s="501"/>
      <c r="H30" s="501"/>
      <c r="I30" s="501"/>
      <c r="K30" s="108"/>
    </row>
    <row r="31" spans="2:11">
      <c r="B31" s="108"/>
      <c r="K31" s="108"/>
    </row>
    <row r="32" spans="2:11" ht="15.75">
      <c r="B32" s="111"/>
      <c r="K32" s="108"/>
    </row>
    <row r="33" spans="2:12" ht="192.75" customHeight="1">
      <c r="B33" s="2075" t="s">
        <v>909</v>
      </c>
      <c r="C33" s="2075"/>
      <c r="D33" s="2075"/>
      <c r="E33" s="2075"/>
      <c r="F33" s="2075"/>
      <c r="G33" s="2075"/>
      <c r="H33" s="2075"/>
      <c r="I33" s="2075"/>
      <c r="J33" s="2075"/>
      <c r="K33" s="108"/>
    </row>
    <row r="35" spans="2:12" ht="15" customHeight="1">
      <c r="B35" s="269" t="s">
        <v>910</v>
      </c>
      <c r="C35" s="302"/>
      <c r="D35" s="302"/>
      <c r="E35" s="302"/>
      <c r="F35" s="302"/>
      <c r="G35" s="302"/>
      <c r="H35" s="302"/>
      <c r="I35" s="302"/>
      <c r="J35" s="302"/>
      <c r="K35" s="302"/>
      <c r="L35" s="302"/>
    </row>
    <row r="36" spans="2:12" ht="17.25" customHeight="1">
      <c r="B36" s="300"/>
      <c r="L36" s="108"/>
    </row>
    <row r="37" spans="2:12">
      <c r="B37" s="301"/>
      <c r="C37" s="301"/>
      <c r="L37" s="108"/>
    </row>
    <row r="38" spans="2:12">
      <c r="B38" s="300"/>
      <c r="C38" s="301"/>
      <c r="L38" s="108"/>
    </row>
    <row r="39" spans="2:12">
      <c r="B39" s="108"/>
      <c r="C39" s="301" t="s">
        <v>103</v>
      </c>
      <c r="D39" s="108"/>
      <c r="E39" s="108"/>
      <c r="F39" s="108"/>
      <c r="G39" s="108"/>
      <c r="H39" s="108"/>
      <c r="I39" s="108"/>
      <c r="J39" s="108"/>
    </row>
    <row r="40" spans="2:12">
      <c r="C40" s="301" t="s">
        <v>103</v>
      </c>
    </row>
  </sheetData>
  <customSheetViews>
    <customSheetView guid="{83D69B98-1714-4D17-901F-87B47BE66947}" showGridLines="0" fitToPage="1" printArea="1" topLeftCell="A4">
      <selection activeCell="R23" sqref="Q23:R23"/>
      <pageMargins left="0.5" right="0.5" top="1" bottom="0.5" header="0.5" footer="0.25"/>
      <printOptions horizontalCentered="1"/>
      <pageSetup firstPageNumber="46" orientation="landscape" useFirstPageNumber="1" r:id="rId1"/>
      <headerFooter scaleWithDoc="0" alignWithMargins="0">
        <oddFooter>&amp;C&amp;8&amp;P</oddFooter>
      </headerFooter>
    </customSheetView>
    <customSheetView guid="{F9AE1502-86F7-4AAA-AE66-F6A75A634C1B}" showGridLines="0" fitToPage="1" printArea="1">
      <selection activeCell="J29" sqref="J29"/>
      <pageMargins left="0.5" right="0.5" top="1" bottom="0.5" header="0.5" footer="0.25"/>
      <printOptions horizontalCentered="1"/>
      <pageSetup firstPageNumber="46" orientation="landscape" useFirstPageNumber="1" r:id="rId2"/>
      <headerFooter scaleWithDoc="0" alignWithMargins="0">
        <oddFooter>&amp;C&amp;8&amp;P</oddFooter>
      </headerFooter>
    </customSheetView>
    <customSheetView guid="{C41E3923-0A88-49D0-AE43-0E74D386A056}" showGridLines="0" fitToPage="1" printArea="1">
      <selection activeCell="J29" sqref="J29"/>
      <pageMargins left="0.5" right="0.5" top="1" bottom="0.5" header="0.5" footer="0.25"/>
      <printOptions horizontalCentered="1"/>
      <pageSetup firstPageNumber="46" orientation="landscape" useFirstPageNumber="1" r:id="rId3"/>
      <headerFooter scaleWithDoc="0" alignWithMargins="0">
        <oddFooter>&amp;C&amp;8&amp;P</oddFooter>
      </headerFooter>
    </customSheetView>
    <customSheetView guid="{1DF171D7-3BFC-49F6-B708-0F91FCFAB6E2}" showGridLines="0" fitToPage="1" printArea="1">
      <selection activeCell="J29" sqref="J29"/>
      <pageMargins left="0.5" right="0.5" top="1" bottom="0.5" header="0.5" footer="0.25"/>
      <printOptions horizontalCentered="1"/>
      <pageSetup firstPageNumber="46" orientation="landscape" useFirstPageNumber="1" r:id="rId4"/>
      <headerFooter scaleWithDoc="0" alignWithMargins="0">
        <oddFooter>&amp;C&amp;8&amp;P</oddFooter>
      </headerFooter>
    </customSheetView>
    <customSheetView guid="{9F00D83C-7F4F-41B5-9976-8610D9EBC976}" showGridLines="0" fitToPage="1" printArea="1">
      <selection activeCell="J29" sqref="J29"/>
      <pageMargins left="0.5" right="0.5" top="1" bottom="0.5" header="0.5" footer="0.25"/>
      <printOptions horizontalCentered="1"/>
      <pageSetup firstPageNumber="46" orientation="landscape" useFirstPageNumber="1" r:id="rId5"/>
      <headerFooter scaleWithDoc="0" alignWithMargins="0">
        <oddFooter>&amp;C&amp;8&amp;P</oddFooter>
      </headerFooter>
    </customSheetView>
    <customSheetView guid="{D1467C25-646C-4F1A-9353-0E890E575522}" showGridLines="0" fitToPage="1" printArea="1" topLeftCell="A3">
      <selection activeCell="E17" sqref="E17"/>
      <pageMargins left="0.5" right="0.5" top="1" bottom="0.5" header="0.5" footer="0.25"/>
      <printOptions horizontalCentered="1"/>
      <pageSetup firstPageNumber="46" orientation="landscape" useFirstPageNumber="1" r:id="rId6"/>
      <headerFooter scaleWithDoc="0" alignWithMargins="0">
        <oddFooter>&amp;C&amp;8&amp;P</oddFooter>
      </headerFooter>
    </customSheetView>
    <customSheetView guid="{3A50DD26-AAF5-43D4-97DE-BAE3367A2F29}" showGridLines="0" fitToPage="1" printArea="1">
      <selection activeCell="J29" sqref="J29"/>
      <pageMargins left="0.5" right="0.5" top="1" bottom="0.5" header="0.5" footer="0.25"/>
      <printOptions horizontalCentered="1"/>
      <pageSetup firstPageNumber="46" orientation="landscape" useFirstPageNumber="1" r:id="rId7"/>
      <headerFooter scaleWithDoc="0" alignWithMargins="0">
        <oddFooter>&amp;C&amp;8&amp;P</oddFooter>
      </headerFooter>
    </customSheetView>
    <customSheetView guid="{C3636880-B45B-4897-94F2-F91976416934}" showGridLines="0" fitToPage="1" printArea="1">
      <selection activeCell="J29" sqref="J29"/>
      <pageMargins left="0.5" right="0.5" top="1" bottom="0.5" header="0.5" footer="0.25"/>
      <printOptions horizontalCentered="1"/>
      <pageSetup firstPageNumber="46" orientation="landscape" useFirstPageNumber="1" r:id="rId8"/>
      <headerFooter scaleWithDoc="0" alignWithMargins="0">
        <oddFooter>&amp;C&amp;8&amp;P</oddFooter>
      </headerFooter>
    </customSheetView>
  </customSheetViews>
  <mergeCells count="1">
    <mergeCell ref="B33:J33"/>
  </mergeCells>
  <printOptions horizontalCentered="1"/>
  <pageMargins left="0.5" right="0.5" top="1" bottom="0.5" header="0.5" footer="0.25"/>
  <pageSetup scale="71" firstPageNumber="46" orientation="landscape" useFirstPageNumber="1" r:id="rId9"/>
  <headerFooter scaleWithDoc="0" alignWithMargins="0">
    <oddFooter>&amp;C&amp;8&amp;P</oddFooter>
  </headerFooter>
  <customProperties>
    <customPr name="SheetOptions" r:id="rId10"/>
  </customProperties>
  <drawing r:id="rId1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workbookViewId="0"/>
  </sheetViews>
  <sheetFormatPr defaultColWidth="8.88671875" defaultRowHeight="15"/>
  <cols>
    <col min="1" max="1" width="45.44140625" style="167" customWidth="1"/>
    <col min="2" max="2" width="17" style="563" customWidth="1"/>
    <col min="3" max="3" width="1.88671875" style="563" customWidth="1"/>
    <col min="4" max="4" width="17" style="563" customWidth="1"/>
    <col min="5" max="5" width="1.88671875" style="562" customWidth="1"/>
    <col min="6" max="6" width="17" style="563" customWidth="1"/>
    <col min="7" max="7" width="1.88671875" style="562" customWidth="1"/>
    <col min="8" max="8" width="17" style="563" customWidth="1"/>
    <col min="9" max="9" width="1.88671875" style="604" customWidth="1"/>
    <col min="10" max="10" width="17" style="594" customWidth="1"/>
    <col min="11" max="11" width="1.88671875" style="594" customWidth="1"/>
    <col min="12" max="12" width="17" style="594" customWidth="1"/>
    <col min="13" max="13" width="1.88671875" style="604" customWidth="1"/>
    <col min="14" max="14" width="17" style="594" customWidth="1"/>
    <col min="15" max="15" width="1.88671875" style="604" customWidth="1"/>
    <col min="16" max="16" width="17" style="594" customWidth="1"/>
    <col min="17" max="17" width="1.88671875" style="604" customWidth="1"/>
    <col min="18" max="18" width="17" style="594" customWidth="1"/>
    <col min="19" max="19" width="1.88671875" style="604" customWidth="1"/>
    <col min="20" max="20" width="17" style="594" customWidth="1"/>
    <col min="21" max="21" width="1.88671875" style="604" customWidth="1"/>
    <col min="22" max="22" width="17" style="594" customWidth="1"/>
    <col min="23" max="23" width="1.88671875" style="604" customWidth="1"/>
    <col min="24" max="24" width="17" style="594" customWidth="1"/>
    <col min="25" max="25" width="1.88671875" style="604" customWidth="1"/>
    <col min="26" max="26" width="18.88671875" style="605" customWidth="1"/>
    <col min="27" max="27" width="1.5546875" style="482" customWidth="1"/>
    <col min="28" max="28" width="18.88671875" style="167" bestFit="1" customWidth="1"/>
    <col min="29" max="29" width="12.88671875" style="167" bestFit="1" customWidth="1"/>
    <col min="30" max="16384" width="8.88671875" style="167"/>
  </cols>
  <sheetData>
    <row r="1" spans="1:33">
      <c r="A1" s="265" t="s">
        <v>97</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879"/>
      <c r="AB1" s="478"/>
      <c r="AC1" s="478"/>
      <c r="AD1" s="478"/>
      <c r="AE1" s="478"/>
      <c r="AF1" s="478"/>
      <c r="AG1" s="478"/>
    </row>
    <row r="2" spans="1:33">
      <c r="A2" s="265"/>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879"/>
      <c r="AB2" s="478"/>
      <c r="AC2" s="478"/>
      <c r="AD2" s="478"/>
      <c r="AE2" s="478"/>
      <c r="AF2" s="478"/>
      <c r="AG2" s="478"/>
    </row>
    <row r="3" spans="1:33" ht="17.850000000000001" customHeight="1">
      <c r="A3" s="347" t="s">
        <v>98</v>
      </c>
      <c r="B3" s="164"/>
      <c r="C3" s="164"/>
      <c r="D3" s="165"/>
      <c r="E3" s="166"/>
      <c r="F3" s="165"/>
      <c r="G3" s="166"/>
      <c r="H3" s="165"/>
      <c r="I3" s="166"/>
      <c r="K3" s="164"/>
      <c r="L3" s="595"/>
      <c r="M3" s="164"/>
      <c r="N3" s="165"/>
      <c r="O3" s="166"/>
      <c r="P3" s="165"/>
      <c r="Q3" s="166"/>
      <c r="R3" s="165"/>
      <c r="S3" s="166"/>
      <c r="T3" s="165"/>
      <c r="U3" s="166"/>
      <c r="V3" s="165"/>
      <c r="W3" s="166"/>
      <c r="X3" s="165"/>
      <c r="Y3" s="166"/>
      <c r="Z3" s="596" t="s">
        <v>911</v>
      </c>
      <c r="AA3" s="880"/>
      <c r="AC3" s="164"/>
      <c r="AE3" s="164"/>
    </row>
    <row r="4" spans="1:33" ht="17.850000000000001" customHeight="1">
      <c r="A4" s="347" t="s">
        <v>912</v>
      </c>
      <c r="B4" s="479"/>
      <c r="C4" s="479"/>
      <c r="D4" s="168"/>
      <c r="E4" s="166"/>
      <c r="F4" s="479"/>
      <c r="G4" s="166"/>
      <c r="H4" s="479"/>
      <c r="I4" s="166"/>
      <c r="J4" s="479"/>
      <c r="K4" s="479"/>
      <c r="L4" s="479"/>
      <c r="M4" s="169"/>
      <c r="N4" s="479"/>
      <c r="O4" s="166"/>
      <c r="P4" s="479"/>
      <c r="Q4" s="166"/>
      <c r="R4" s="479"/>
      <c r="S4" s="166"/>
      <c r="T4" s="479"/>
      <c r="U4" s="166"/>
      <c r="V4" s="479"/>
      <c r="W4" s="166"/>
      <c r="X4" s="479"/>
      <c r="Y4" s="166"/>
      <c r="Z4" s="597"/>
      <c r="AA4" s="880"/>
      <c r="AC4" s="164"/>
    </row>
    <row r="5" spans="1:33" ht="17.850000000000001" customHeight="1">
      <c r="A5" s="348" t="s">
        <v>913</v>
      </c>
      <c r="B5" s="479"/>
      <c r="C5" s="479"/>
      <c r="D5" s="479"/>
      <c r="E5" s="166"/>
      <c r="F5" s="479"/>
      <c r="G5" s="166"/>
      <c r="H5" s="479"/>
      <c r="I5" s="166"/>
      <c r="J5" s="479"/>
      <c r="K5" s="479"/>
      <c r="L5" s="479"/>
      <c r="M5" s="169"/>
      <c r="N5" s="479"/>
      <c r="O5" s="166"/>
      <c r="P5" s="479"/>
      <c r="Q5" s="166"/>
      <c r="R5" s="479"/>
      <c r="S5" s="166"/>
      <c r="T5" s="479"/>
      <c r="U5" s="166"/>
      <c r="V5" s="479"/>
      <c r="W5" s="166"/>
      <c r="X5" s="479"/>
      <c r="Y5" s="166"/>
      <c r="Z5" s="597"/>
    </row>
    <row r="6" spans="1:33" ht="17.850000000000001" customHeight="1">
      <c r="A6" s="171" t="str">
        <f>'Cashflow Governmental'!A6</f>
        <v>FISCAL YEAR 2026-2027</v>
      </c>
      <c r="B6" s="479"/>
      <c r="C6" s="479"/>
      <c r="D6" s="173"/>
      <c r="E6" s="166"/>
      <c r="F6" s="479"/>
      <c r="G6" s="166"/>
      <c r="H6" s="479"/>
      <c r="I6" s="166"/>
      <c r="J6" s="479"/>
      <c r="K6" s="479"/>
      <c r="L6" s="479"/>
      <c r="M6" s="169"/>
      <c r="N6" s="479"/>
      <c r="O6" s="166"/>
      <c r="P6" s="479"/>
      <c r="Q6" s="166"/>
      <c r="R6" s="479"/>
      <c r="S6" s="166"/>
      <c r="T6" s="479"/>
      <c r="U6" s="166"/>
      <c r="V6" s="479"/>
      <c r="W6" s="166"/>
      <c r="X6" s="479"/>
      <c r="Y6" s="166"/>
      <c r="Z6" s="597"/>
    </row>
    <row r="7" spans="1:33" ht="18">
      <c r="A7" s="172"/>
      <c r="B7" s="479"/>
      <c r="C7" s="479"/>
      <c r="D7" s="479"/>
      <c r="E7" s="166"/>
      <c r="F7" s="479"/>
      <c r="G7" s="166"/>
      <c r="H7" s="479"/>
      <c r="I7" s="166"/>
      <c r="J7" s="479"/>
      <c r="K7" s="479"/>
      <c r="L7" s="479"/>
      <c r="M7" s="169"/>
      <c r="N7" s="479"/>
      <c r="O7" s="166"/>
      <c r="P7" s="479"/>
      <c r="Q7" s="166"/>
      <c r="R7" s="481"/>
      <c r="S7" s="166"/>
      <c r="T7" s="481"/>
      <c r="U7" s="166"/>
      <c r="V7" s="481"/>
      <c r="W7" s="166"/>
      <c r="X7" s="481"/>
      <c r="Y7" s="166"/>
      <c r="Z7" s="597"/>
    </row>
    <row r="8" spans="1:33" ht="15.75">
      <c r="A8" s="163"/>
      <c r="B8" s="479"/>
      <c r="C8" s="479"/>
      <c r="D8" s="479"/>
      <c r="E8" s="166"/>
      <c r="F8" s="479"/>
      <c r="G8" s="166"/>
      <c r="H8" s="479"/>
      <c r="I8" s="166"/>
      <c r="J8" s="479"/>
      <c r="K8" s="479"/>
      <c r="L8" s="479"/>
      <c r="M8" s="166"/>
      <c r="N8" s="479"/>
      <c r="O8" s="166"/>
      <c r="P8" s="479"/>
      <c r="Q8" s="166"/>
      <c r="R8" s="479"/>
      <c r="S8" s="166"/>
      <c r="T8" s="479"/>
      <c r="U8" s="166"/>
      <c r="V8" s="479"/>
      <c r="W8" s="166"/>
      <c r="X8" s="479"/>
      <c r="Y8" s="166"/>
      <c r="Z8" s="1668"/>
      <c r="AA8" s="175"/>
    </row>
    <row r="9" spans="1:33" ht="15.75">
      <c r="A9" s="482"/>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'Sch 5 '!$K$11</f>
        <v>3 MONTHS ENDED</v>
      </c>
      <c r="AA9" s="177"/>
    </row>
    <row r="10" spans="1:33" ht="15.75">
      <c r="A10" s="482"/>
      <c r="B10" s="178" t="s">
        <v>329</v>
      </c>
      <c r="C10" s="178"/>
      <c r="D10" s="177" t="s">
        <v>330</v>
      </c>
      <c r="E10" s="169"/>
      <c r="F10" s="177" t="s">
        <v>331</v>
      </c>
      <c r="G10" s="169"/>
      <c r="H10" s="177" t="s">
        <v>332</v>
      </c>
      <c r="I10" s="169"/>
      <c r="J10" s="656"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'!$K$12</f>
        <v>JUNE 30, 2026</v>
      </c>
      <c r="AA10" s="180"/>
    </row>
    <row r="11" spans="1:33" ht="15.75">
      <c r="A11" s="482"/>
      <c r="B11" s="612" t="s">
        <v>103</v>
      </c>
      <c r="C11" s="483"/>
      <c r="D11" s="612"/>
      <c r="E11" s="484"/>
      <c r="F11" s="612"/>
      <c r="G11" s="484"/>
      <c r="H11" s="612"/>
      <c r="I11" s="484"/>
      <c r="J11" s="612"/>
      <c r="K11" s="179"/>
      <c r="L11" s="612"/>
      <c r="M11" s="484"/>
      <c r="N11" s="612"/>
      <c r="O11" s="484"/>
      <c r="P11" s="612"/>
      <c r="Q11" s="484"/>
      <c r="R11" s="612"/>
      <c r="S11" s="484"/>
      <c r="T11" s="612"/>
      <c r="U11" s="484"/>
      <c r="V11" s="612"/>
      <c r="W11" s="484"/>
      <c r="X11" s="612"/>
      <c r="Y11" s="484"/>
      <c r="Z11" s="1085" t="s">
        <v>103</v>
      </c>
    </row>
    <row r="12" spans="1:33" s="182" customFormat="1" ht="15.75">
      <c r="A12" s="185" t="s">
        <v>914</v>
      </c>
      <c r="B12" s="181">
        <v>449121155</v>
      </c>
      <c r="C12" s="181"/>
      <c r="D12" s="181">
        <f>B47</f>
        <v>639929644</v>
      </c>
      <c r="E12" s="485"/>
      <c r="F12" s="181">
        <f>D47</f>
        <v>991622776</v>
      </c>
      <c r="G12" s="485"/>
      <c r="H12" s="181"/>
      <c r="I12" s="485"/>
      <c r="J12" s="181"/>
      <c r="K12" s="181"/>
      <c r="L12" s="181"/>
      <c r="M12" s="179"/>
      <c r="N12" s="181"/>
      <c r="O12" s="181"/>
      <c r="P12" s="181"/>
      <c r="Q12" s="181"/>
      <c r="R12" s="181"/>
      <c r="S12" s="181"/>
      <c r="T12" s="181"/>
      <c r="U12" s="181"/>
      <c r="V12" s="181"/>
      <c r="W12" s="181"/>
      <c r="X12" s="181"/>
      <c r="Y12" s="181"/>
      <c r="Z12" s="181">
        <f>+B12</f>
        <v>449121155</v>
      </c>
      <c r="AA12" s="881"/>
      <c r="AB12" s="1649"/>
    </row>
    <row r="13" spans="1:33" ht="15.75">
      <c r="A13" s="486"/>
      <c r="B13" s="487"/>
      <c r="C13" s="487"/>
      <c r="D13" s="487"/>
      <c r="E13" s="487"/>
      <c r="F13" s="487"/>
      <c r="G13" s="487"/>
      <c r="H13" s="487"/>
      <c r="I13" s="487"/>
      <c r="J13" s="487"/>
      <c r="K13" s="179"/>
      <c r="L13" s="487"/>
      <c r="M13" s="487"/>
      <c r="N13" s="487"/>
      <c r="O13" s="487"/>
      <c r="P13" s="487"/>
      <c r="Q13" s="487"/>
      <c r="R13" s="487"/>
      <c r="S13" s="487"/>
      <c r="T13" s="487"/>
      <c r="U13" s="487"/>
      <c r="V13" s="487"/>
      <c r="W13" s="487"/>
      <c r="X13" s="487"/>
      <c r="Y13" s="487"/>
      <c r="Z13" s="598"/>
      <c r="AB13" s="1649"/>
    </row>
    <row r="14" spans="1:33" ht="15.75">
      <c r="A14" s="183" t="s">
        <v>114</v>
      </c>
      <c r="B14" s="487"/>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598"/>
      <c r="AB14" s="1649"/>
    </row>
    <row r="15" spans="1:33">
      <c r="A15" s="349" t="s">
        <v>915</v>
      </c>
      <c r="B15" s="489">
        <v>52851229</v>
      </c>
      <c r="C15" s="489"/>
      <c r="D15" s="489">
        <v>39745785</v>
      </c>
      <c r="E15" s="489"/>
      <c r="F15" s="489">
        <f>$Z15-D15-B15</f>
        <v>48414375</v>
      </c>
      <c r="G15" s="489"/>
      <c r="H15" s="489"/>
      <c r="I15" s="489"/>
      <c r="J15" s="489"/>
      <c r="K15" s="489"/>
      <c r="L15" s="489"/>
      <c r="M15" s="487"/>
      <c r="N15" s="489"/>
      <c r="O15" s="489"/>
      <c r="P15" s="489"/>
      <c r="Q15" s="489"/>
      <c r="R15" s="489"/>
      <c r="S15" s="489"/>
      <c r="T15" s="489"/>
      <c r="U15" s="489"/>
      <c r="V15" s="489"/>
      <c r="W15" s="489"/>
      <c r="X15" s="489"/>
      <c r="Y15" s="489"/>
      <c r="Z15" s="489">
        <v>141011389</v>
      </c>
      <c r="AB15" s="1649"/>
    </row>
    <row r="16" spans="1:33">
      <c r="A16" s="349" t="s">
        <v>916</v>
      </c>
      <c r="B16" s="489">
        <v>1127000</v>
      </c>
      <c r="C16" s="489"/>
      <c r="D16" s="489">
        <v>537000</v>
      </c>
      <c r="E16" s="489"/>
      <c r="F16" s="489">
        <f t="shared" ref="F16:F24" si="0">$Z16-D16-B16</f>
        <v>1095000</v>
      </c>
      <c r="G16" s="489"/>
      <c r="H16" s="489"/>
      <c r="I16" s="489"/>
      <c r="J16" s="489"/>
      <c r="K16" s="489"/>
      <c r="L16" s="489"/>
      <c r="M16" s="487"/>
      <c r="N16" s="489"/>
      <c r="O16" s="489"/>
      <c r="P16" s="489"/>
      <c r="Q16" s="489"/>
      <c r="R16" s="489"/>
      <c r="S16" s="489"/>
      <c r="T16" s="489"/>
      <c r="U16" s="489"/>
      <c r="V16" s="489"/>
      <c r="W16" s="489"/>
      <c r="X16" s="489"/>
      <c r="Y16" s="489"/>
      <c r="Z16" s="489">
        <v>2759000</v>
      </c>
      <c r="AB16" s="1649"/>
    </row>
    <row r="17" spans="1:28">
      <c r="A17" s="349" t="s">
        <v>917</v>
      </c>
      <c r="B17" s="489">
        <v>276404</v>
      </c>
      <c r="C17" s="489"/>
      <c r="D17" s="489">
        <v>28970</v>
      </c>
      <c r="E17" s="489"/>
      <c r="F17" s="489">
        <f t="shared" si="0"/>
        <v>4624007</v>
      </c>
      <c r="G17" s="489"/>
      <c r="H17" s="489"/>
      <c r="I17" s="489"/>
      <c r="J17" s="489"/>
      <c r="K17" s="489"/>
      <c r="L17" s="489"/>
      <c r="M17" s="487"/>
      <c r="N17" s="489"/>
      <c r="O17" s="489"/>
      <c r="P17" s="489"/>
      <c r="Q17" s="489"/>
      <c r="R17" s="489"/>
      <c r="S17" s="489"/>
      <c r="T17" s="489"/>
      <c r="U17" s="489"/>
      <c r="V17" s="489"/>
      <c r="W17" s="489"/>
      <c r="X17" s="489"/>
      <c r="Y17" s="489"/>
      <c r="Z17" s="489">
        <v>4929381</v>
      </c>
      <c r="AB17" s="1649"/>
    </row>
    <row r="18" spans="1:28">
      <c r="A18" s="349" t="s">
        <v>918</v>
      </c>
      <c r="B18" s="489">
        <v>2590112</v>
      </c>
      <c r="C18" s="489"/>
      <c r="D18" s="489">
        <v>2480948</v>
      </c>
      <c r="E18" s="489"/>
      <c r="F18" s="489">
        <f t="shared" si="0"/>
        <v>3634998</v>
      </c>
      <c r="G18" s="489"/>
      <c r="H18" s="489"/>
      <c r="I18" s="489"/>
      <c r="J18" s="489"/>
      <c r="K18" s="489"/>
      <c r="L18" s="489"/>
      <c r="M18" s="487"/>
      <c r="N18" s="489"/>
      <c r="O18" s="489"/>
      <c r="P18" s="489"/>
      <c r="Q18" s="489"/>
      <c r="R18" s="489"/>
      <c r="S18" s="489"/>
      <c r="T18" s="489"/>
      <c r="U18" s="489"/>
      <c r="V18" s="489"/>
      <c r="W18" s="489"/>
      <c r="X18" s="489"/>
      <c r="Y18" s="489"/>
      <c r="Z18" s="489">
        <v>8706058</v>
      </c>
      <c r="AB18" s="1649"/>
    </row>
    <row r="19" spans="1:28">
      <c r="A19" s="349" t="s">
        <v>919</v>
      </c>
      <c r="B19" s="489">
        <v>563672523</v>
      </c>
      <c r="C19" s="489"/>
      <c r="D19" s="489">
        <v>689410854</v>
      </c>
      <c r="E19" s="489"/>
      <c r="F19" s="489">
        <f t="shared" si="0"/>
        <v>801529660</v>
      </c>
      <c r="G19" s="489"/>
      <c r="H19" s="489"/>
      <c r="I19" s="489"/>
      <c r="J19" s="489"/>
      <c r="K19" s="489"/>
      <c r="L19" s="489"/>
      <c r="M19" s="487"/>
      <c r="N19" s="489"/>
      <c r="O19" s="489"/>
      <c r="P19" s="489"/>
      <c r="Q19" s="489"/>
      <c r="R19" s="489"/>
      <c r="S19" s="489"/>
      <c r="T19" s="489"/>
      <c r="U19" s="489"/>
      <c r="V19" s="489"/>
      <c r="W19" s="489"/>
      <c r="X19" s="489"/>
      <c r="Y19" s="489"/>
      <c r="Z19" s="489">
        <v>2054613037</v>
      </c>
      <c r="AB19" s="1649"/>
    </row>
    <row r="20" spans="1:28">
      <c r="A20" s="349" t="s">
        <v>920</v>
      </c>
      <c r="B20" s="489">
        <v>30000</v>
      </c>
      <c r="C20" s="491"/>
      <c r="D20" s="489">
        <v>15600</v>
      </c>
      <c r="E20" s="489"/>
      <c r="F20" s="489">
        <f t="shared" si="0"/>
        <v>118900</v>
      </c>
      <c r="G20" s="489"/>
      <c r="H20" s="489"/>
      <c r="I20" s="489"/>
      <c r="J20" s="489"/>
      <c r="K20" s="493"/>
      <c r="L20" s="489"/>
      <c r="M20" s="487"/>
      <c r="N20" s="489"/>
      <c r="O20" s="489"/>
      <c r="P20" s="489"/>
      <c r="Q20" s="489"/>
      <c r="R20" s="489"/>
      <c r="S20" s="489"/>
      <c r="T20" s="489"/>
      <c r="U20" s="489"/>
      <c r="V20" s="489"/>
      <c r="W20" s="491"/>
      <c r="X20" s="489"/>
      <c r="Y20" s="489"/>
      <c r="Z20" s="489">
        <v>164500</v>
      </c>
      <c r="AB20" s="1649"/>
    </row>
    <row r="21" spans="1:28">
      <c r="A21" s="349" t="s">
        <v>921</v>
      </c>
      <c r="B21" s="489">
        <v>1106421</v>
      </c>
      <c r="C21" s="491"/>
      <c r="D21" s="489">
        <v>57085</v>
      </c>
      <c r="E21" s="489"/>
      <c r="F21" s="489">
        <f t="shared" si="0"/>
        <v>2822000</v>
      </c>
      <c r="G21" s="489"/>
      <c r="H21" s="489"/>
      <c r="I21" s="489"/>
      <c r="J21" s="489"/>
      <c r="K21" s="493"/>
      <c r="L21" s="489"/>
      <c r="M21" s="487"/>
      <c r="N21" s="489"/>
      <c r="O21" s="489"/>
      <c r="P21" s="489"/>
      <c r="Q21" s="489"/>
      <c r="R21" s="489"/>
      <c r="S21" s="489"/>
      <c r="T21" s="489"/>
      <c r="U21" s="489"/>
      <c r="V21" s="489"/>
      <c r="W21" s="491"/>
      <c r="X21" s="489"/>
      <c r="Y21" s="489"/>
      <c r="Z21" s="489">
        <v>3985506</v>
      </c>
      <c r="AB21" s="1649"/>
    </row>
    <row r="22" spans="1:28">
      <c r="A22" s="349" t="s">
        <v>922</v>
      </c>
      <c r="B22" s="489">
        <v>0</v>
      </c>
      <c r="C22" s="491"/>
      <c r="D22" s="489">
        <v>0</v>
      </c>
      <c r="E22" s="489"/>
      <c r="F22" s="489">
        <f t="shared" si="0"/>
        <v>0</v>
      </c>
      <c r="G22" s="489"/>
      <c r="H22" s="489"/>
      <c r="I22" s="489"/>
      <c r="J22" s="489"/>
      <c r="K22" s="493"/>
      <c r="L22" s="489"/>
      <c r="M22" s="487"/>
      <c r="N22" s="489"/>
      <c r="O22" s="489"/>
      <c r="P22" s="489"/>
      <c r="Q22" s="489"/>
      <c r="R22" s="489"/>
      <c r="S22" s="489"/>
      <c r="T22" s="489"/>
      <c r="U22" s="489"/>
      <c r="V22" s="489"/>
      <c r="W22" s="491"/>
      <c r="X22" s="489"/>
      <c r="Y22" s="489"/>
      <c r="Z22" s="489">
        <v>0</v>
      </c>
      <c r="AB22" s="1649"/>
    </row>
    <row r="23" spans="1:28">
      <c r="A23" s="350" t="s">
        <v>923</v>
      </c>
      <c r="B23" s="489">
        <v>0</v>
      </c>
      <c r="C23" s="491"/>
      <c r="D23" s="489">
        <v>0</v>
      </c>
      <c r="E23" s="489"/>
      <c r="F23" s="489">
        <f t="shared" si="0"/>
        <v>0</v>
      </c>
      <c r="G23" s="489"/>
      <c r="H23" s="489"/>
      <c r="I23" s="489"/>
      <c r="J23" s="489"/>
      <c r="K23" s="493"/>
      <c r="L23" s="489"/>
      <c r="M23" s="487"/>
      <c r="N23" s="489"/>
      <c r="O23" s="489"/>
      <c r="P23" s="489"/>
      <c r="Q23" s="489"/>
      <c r="R23" s="489"/>
      <c r="S23" s="489"/>
      <c r="T23" s="489"/>
      <c r="U23" s="489"/>
      <c r="V23" s="489"/>
      <c r="W23" s="491"/>
      <c r="X23" s="489"/>
      <c r="Y23" s="489"/>
      <c r="Z23" s="489">
        <v>0</v>
      </c>
      <c r="AB23" s="1649"/>
    </row>
    <row r="24" spans="1:28">
      <c r="A24" s="349" t="s">
        <v>924</v>
      </c>
      <c r="B24" s="489">
        <v>0</v>
      </c>
      <c r="C24" s="493"/>
      <c r="D24" s="489">
        <v>0</v>
      </c>
      <c r="E24" s="489"/>
      <c r="F24" s="489">
        <f t="shared" si="0"/>
        <v>0</v>
      </c>
      <c r="G24" s="489"/>
      <c r="H24" s="489"/>
      <c r="I24" s="489"/>
      <c r="J24" s="489"/>
      <c r="K24" s="489"/>
      <c r="L24" s="489"/>
      <c r="M24" s="487"/>
      <c r="N24" s="489"/>
      <c r="O24" s="489"/>
      <c r="P24" s="489"/>
      <c r="Q24" s="489"/>
      <c r="R24" s="489"/>
      <c r="S24" s="489"/>
      <c r="T24" s="489"/>
      <c r="U24" s="489"/>
      <c r="V24" s="489"/>
      <c r="W24" s="489"/>
      <c r="X24" s="489"/>
      <c r="Y24" s="489"/>
      <c r="Z24" s="1669">
        <v>0</v>
      </c>
      <c r="AB24" s="1649"/>
    </row>
    <row r="25" spans="1:28" s="182" customFormat="1" ht="15.75">
      <c r="A25" s="183" t="s">
        <v>427</v>
      </c>
      <c r="B25" s="593">
        <f>ROUND(SUM(B15:B24),0)</f>
        <v>621653689</v>
      </c>
      <c r="C25" s="184"/>
      <c r="D25" s="593">
        <f>ROUND(SUM(D15:D24),0)</f>
        <v>732276242</v>
      </c>
      <c r="E25" s="184"/>
      <c r="F25" s="1198">
        <f>ROUND(SUM(F15:F24),0)</f>
        <v>862238940</v>
      </c>
      <c r="G25" s="184"/>
      <c r="H25" s="1198">
        <f>ROUND(SUM(H15:H24),0)</f>
        <v>0</v>
      </c>
      <c r="I25" s="184"/>
      <c r="J25" s="593">
        <f>ROUND(SUM(J15:J24),0)</f>
        <v>0</v>
      </c>
      <c r="K25" s="184"/>
      <c r="L25" s="593">
        <f>ROUND(SUM(L15:L24),0)</f>
        <v>0</v>
      </c>
      <c r="M25" s="179"/>
      <c r="N25" s="593">
        <f>ROUND(SUM(N15:N24),0)</f>
        <v>0</v>
      </c>
      <c r="O25" s="184"/>
      <c r="P25" s="593">
        <f>ROUND(SUM(P15:P24),0)</f>
        <v>0</v>
      </c>
      <c r="Q25" s="184"/>
      <c r="R25" s="593">
        <f>ROUND(SUM(R15:R24),0)</f>
        <v>0</v>
      </c>
      <c r="S25" s="184"/>
      <c r="T25" s="593">
        <f>ROUND(SUM(T15:T24),0)</f>
        <v>0</v>
      </c>
      <c r="U25" s="184"/>
      <c r="V25" s="593">
        <f>ROUND(SUM(V15:V24),0)</f>
        <v>0</v>
      </c>
      <c r="W25" s="184"/>
      <c r="X25" s="593">
        <f>ROUND(SUM(X15:X24),0)</f>
        <v>0</v>
      </c>
      <c r="Y25" s="184"/>
      <c r="Z25" s="593">
        <f>ROUND(SUM(Z15:Z24),0)</f>
        <v>2216168871</v>
      </c>
      <c r="AA25" s="881"/>
      <c r="AB25" s="1650"/>
    </row>
    <row r="26" spans="1:28">
      <c r="A26" s="486"/>
      <c r="B26" s="489"/>
      <c r="C26" s="489"/>
      <c r="D26" s="489"/>
      <c r="E26" s="489"/>
      <c r="F26" s="489"/>
      <c r="G26" s="489"/>
      <c r="H26" s="489"/>
      <c r="I26" s="489"/>
      <c r="J26" s="489"/>
      <c r="K26" s="489"/>
      <c r="L26" s="489"/>
      <c r="M26" s="487"/>
      <c r="N26" s="489"/>
      <c r="O26" s="489"/>
      <c r="P26" s="489"/>
      <c r="Q26" s="489"/>
      <c r="R26" s="489"/>
      <c r="S26" s="489"/>
      <c r="T26" s="489"/>
      <c r="U26" s="489"/>
      <c r="V26" s="489"/>
      <c r="W26" s="489"/>
      <c r="X26" s="489"/>
      <c r="Y26" s="489"/>
      <c r="Z26" s="490"/>
      <c r="AB26" s="1649"/>
    </row>
    <row r="27" spans="1:28" ht="15.75">
      <c r="A27" s="183" t="s">
        <v>122</v>
      </c>
      <c r="B27" s="489"/>
      <c r="C27" s="489"/>
      <c r="D27" s="489"/>
      <c r="E27" s="489"/>
      <c r="F27" s="489"/>
      <c r="G27" s="489"/>
      <c r="H27" s="489"/>
      <c r="I27" s="489"/>
      <c r="J27" s="489"/>
      <c r="K27" s="489"/>
      <c r="L27" s="489"/>
      <c r="M27" s="487"/>
      <c r="N27" s="489"/>
      <c r="O27" s="489"/>
      <c r="P27" s="489"/>
      <c r="Q27" s="489"/>
      <c r="R27" s="489"/>
      <c r="S27" s="489"/>
      <c r="T27" s="489"/>
      <c r="U27" s="489"/>
      <c r="V27" s="489"/>
      <c r="W27" s="489"/>
      <c r="X27" s="489"/>
      <c r="Y27" s="489"/>
      <c r="Z27" s="490"/>
      <c r="AB27" s="1649"/>
    </row>
    <row r="28" spans="1:28">
      <c r="A28" s="349" t="s">
        <v>925</v>
      </c>
      <c r="B28" s="489">
        <v>430848373</v>
      </c>
      <c r="C28" s="489"/>
      <c r="D28" s="489">
        <v>377864054</v>
      </c>
      <c r="E28" s="489"/>
      <c r="F28" s="489">
        <f>$Z28-D28-B28</f>
        <v>734651878</v>
      </c>
      <c r="G28" s="489"/>
      <c r="H28" s="489"/>
      <c r="I28" s="489"/>
      <c r="J28" s="489"/>
      <c r="K28" s="489"/>
      <c r="L28" s="489"/>
      <c r="M28" s="487"/>
      <c r="N28" s="489"/>
      <c r="O28" s="489"/>
      <c r="P28" s="489"/>
      <c r="Q28" s="489"/>
      <c r="R28" s="489"/>
      <c r="S28" s="489"/>
      <c r="T28" s="489"/>
      <c r="U28" s="489"/>
      <c r="V28" s="489"/>
      <c r="W28" s="489"/>
      <c r="X28" s="489"/>
      <c r="Y28" s="489"/>
      <c r="Z28" s="489">
        <v>1543364305</v>
      </c>
      <c r="AB28" s="1649"/>
    </row>
    <row r="29" spans="1:28">
      <c r="A29" s="349" t="s">
        <v>926</v>
      </c>
      <c r="B29" s="489">
        <v>2862</v>
      </c>
      <c r="C29" s="489"/>
      <c r="D29" s="489">
        <v>327</v>
      </c>
      <c r="E29" s="489"/>
      <c r="F29" s="489">
        <f t="shared" ref="F29:F32" si="1">$Z29-D29-B29</f>
        <v>46056</v>
      </c>
      <c r="G29" s="489"/>
      <c r="H29" s="489"/>
      <c r="I29" s="489"/>
      <c r="J29" s="489"/>
      <c r="K29" s="489"/>
      <c r="L29" s="489"/>
      <c r="M29" s="487"/>
      <c r="N29" s="489"/>
      <c r="O29" s="489"/>
      <c r="P29" s="489"/>
      <c r="Q29" s="489"/>
      <c r="R29" s="489"/>
      <c r="S29" s="489"/>
      <c r="T29" s="489"/>
      <c r="U29" s="489"/>
      <c r="V29" s="489"/>
      <c r="W29" s="489"/>
      <c r="X29" s="489"/>
      <c r="Y29" s="489"/>
      <c r="Z29" s="489">
        <v>49245</v>
      </c>
      <c r="AB29" s="1650"/>
    </row>
    <row r="30" spans="1:28">
      <c r="A30" s="349" t="s">
        <v>927</v>
      </c>
      <c r="B30" s="489">
        <v>2088362</v>
      </c>
      <c r="C30" s="489"/>
      <c r="D30" s="489">
        <v>1340589</v>
      </c>
      <c r="E30" s="489"/>
      <c r="F30" s="489">
        <f t="shared" si="1"/>
        <v>872695</v>
      </c>
      <c r="G30" s="489"/>
      <c r="H30" s="489"/>
      <c r="I30" s="489"/>
      <c r="J30" s="489"/>
      <c r="K30" s="489"/>
      <c r="L30" s="489"/>
      <c r="M30" s="487"/>
      <c r="N30" s="489"/>
      <c r="O30" s="489"/>
      <c r="P30" s="489"/>
      <c r="Q30" s="489"/>
      <c r="R30" s="489"/>
      <c r="S30" s="489"/>
      <c r="T30" s="489"/>
      <c r="U30" s="489"/>
      <c r="V30" s="489"/>
      <c r="W30" s="489"/>
      <c r="X30" s="489"/>
      <c r="Y30" s="489"/>
      <c r="Z30" s="489">
        <v>4301646</v>
      </c>
      <c r="AB30" s="1649"/>
    </row>
    <row r="31" spans="1:28">
      <c r="A31" s="349" t="s">
        <v>928</v>
      </c>
      <c r="B31" s="489">
        <v>1226927</v>
      </c>
      <c r="C31" s="489"/>
      <c r="D31" s="489">
        <v>1378140</v>
      </c>
      <c r="E31" s="489"/>
      <c r="F31" s="489">
        <f t="shared" si="1"/>
        <v>10639616</v>
      </c>
      <c r="G31" s="489"/>
      <c r="H31" s="489"/>
      <c r="I31" s="489"/>
      <c r="J31" s="489"/>
      <c r="K31" s="489"/>
      <c r="L31" s="489"/>
      <c r="M31" s="487"/>
      <c r="N31" s="489"/>
      <c r="O31" s="489"/>
      <c r="P31" s="489"/>
      <c r="Q31" s="489"/>
      <c r="R31" s="489"/>
      <c r="S31" s="489"/>
      <c r="T31" s="489"/>
      <c r="U31" s="489"/>
      <c r="V31" s="489"/>
      <c r="W31" s="489"/>
      <c r="X31" s="489"/>
      <c r="Y31" s="489"/>
      <c r="Z31" s="489">
        <v>13244683</v>
      </c>
      <c r="AB31" s="1649"/>
    </row>
    <row r="32" spans="1:28">
      <c r="A32" s="349" t="s">
        <v>929</v>
      </c>
      <c r="B32" s="489">
        <v>0</v>
      </c>
      <c r="C32" s="489"/>
      <c r="D32" s="489">
        <v>0</v>
      </c>
      <c r="E32" s="489"/>
      <c r="F32" s="489">
        <f t="shared" si="1"/>
        <v>2246591</v>
      </c>
      <c r="G32" s="489"/>
      <c r="H32" s="489"/>
      <c r="I32" s="489"/>
      <c r="J32" s="489"/>
      <c r="K32" s="489"/>
      <c r="L32" s="489"/>
      <c r="M32" s="487"/>
      <c r="N32" s="489"/>
      <c r="O32" s="489"/>
      <c r="P32" s="489"/>
      <c r="Q32" s="489"/>
      <c r="R32" s="489"/>
      <c r="S32" s="489"/>
      <c r="T32" s="489"/>
      <c r="U32" s="489"/>
      <c r="V32" s="489"/>
      <c r="W32" s="489"/>
      <c r="X32" s="489"/>
      <c r="Y32" s="489"/>
      <c r="Z32" s="489">
        <v>2246591</v>
      </c>
      <c r="AB32" s="1649"/>
    </row>
    <row r="33" spans="1:28" ht="15.75">
      <c r="A33" s="183" t="s">
        <v>457</v>
      </c>
      <c r="B33" s="593">
        <f>ROUND(SUM(B28:B32),0)</f>
        <v>434166524</v>
      </c>
      <c r="C33" s="489"/>
      <c r="D33" s="593">
        <f>ROUND(SUM(D28:D32),0)</f>
        <v>380583110</v>
      </c>
      <c r="E33" s="489"/>
      <c r="F33" s="593">
        <f>ROUND(SUM(F28:F32),0)</f>
        <v>748456836</v>
      </c>
      <c r="G33" s="489"/>
      <c r="H33" s="593">
        <f>ROUND(SUM(H28:H32),0)</f>
        <v>0</v>
      </c>
      <c r="I33" s="489"/>
      <c r="J33" s="593">
        <f>ROUND(SUM(J28:J32),0)</f>
        <v>0</v>
      </c>
      <c r="K33" s="489"/>
      <c r="L33" s="593">
        <f>ROUND(SUM(L28:L32),0)</f>
        <v>0</v>
      </c>
      <c r="M33" s="487"/>
      <c r="N33" s="593">
        <f>ROUND(SUM(N28:N32),0)</f>
        <v>0</v>
      </c>
      <c r="O33" s="489"/>
      <c r="P33" s="593">
        <f>ROUND(SUM(P28:P32),0)</f>
        <v>0</v>
      </c>
      <c r="Q33" s="489"/>
      <c r="R33" s="593">
        <f>ROUND(SUM(R28:R32),0)</f>
        <v>0</v>
      </c>
      <c r="S33" s="489"/>
      <c r="T33" s="593">
        <f>ROUND(SUM(T28:T32),0)</f>
        <v>0</v>
      </c>
      <c r="U33" s="489"/>
      <c r="V33" s="593">
        <f>ROUND(SUM(V28:V32),0)</f>
        <v>0</v>
      </c>
      <c r="W33" s="489"/>
      <c r="X33" s="593">
        <f>ROUND(SUM(X28:X32),0)</f>
        <v>0</v>
      </c>
      <c r="Y33" s="489"/>
      <c r="Z33" s="593">
        <f>ROUND(SUM(Z28:Z32),0)</f>
        <v>1563206470</v>
      </c>
      <c r="AB33" s="1649"/>
    </row>
    <row r="34" spans="1:28" ht="15.75">
      <c r="A34" s="183"/>
      <c r="B34" s="489"/>
      <c r="C34" s="489"/>
      <c r="D34" s="489"/>
      <c r="E34" s="489"/>
      <c r="F34" s="491"/>
      <c r="G34" s="489"/>
      <c r="H34" s="491"/>
      <c r="I34" s="489"/>
      <c r="J34" s="489"/>
      <c r="K34" s="489"/>
      <c r="L34" s="489"/>
      <c r="M34" s="487"/>
      <c r="N34" s="489"/>
      <c r="O34" s="489"/>
      <c r="P34" s="489"/>
      <c r="Q34" s="489"/>
      <c r="R34" s="489"/>
      <c r="S34" s="489"/>
      <c r="T34" s="489"/>
      <c r="U34" s="489"/>
      <c r="V34" s="489"/>
      <c r="W34" s="489"/>
      <c r="X34" s="489"/>
      <c r="Y34" s="489"/>
      <c r="Z34" s="490"/>
      <c r="AB34" s="1649"/>
    </row>
    <row r="35" spans="1:28" ht="15.75">
      <c r="A35" s="185" t="s">
        <v>930</v>
      </c>
      <c r="B35" s="491"/>
      <c r="C35" s="491"/>
      <c r="D35" s="491"/>
      <c r="E35" s="489"/>
      <c r="F35" s="494"/>
      <c r="G35" s="489"/>
      <c r="H35" s="491"/>
      <c r="I35" s="489"/>
      <c r="K35" s="489"/>
      <c r="L35" s="491"/>
      <c r="M35" s="487"/>
      <c r="N35" s="491"/>
      <c r="O35" s="489"/>
      <c r="P35" s="491"/>
      <c r="Q35" s="489"/>
      <c r="R35" s="491"/>
      <c r="S35" s="489"/>
      <c r="T35" s="491"/>
      <c r="U35" s="489"/>
      <c r="V35" s="491"/>
      <c r="W35" s="489"/>
      <c r="X35" s="491"/>
      <c r="Y35" s="489"/>
      <c r="Z35" s="490"/>
      <c r="AB35" s="1649"/>
    </row>
    <row r="36" spans="1:28">
      <c r="A36" s="349" t="s">
        <v>1479</v>
      </c>
      <c r="B36" s="491">
        <v>0</v>
      </c>
      <c r="C36" s="491"/>
      <c r="D36" s="613">
        <v>0</v>
      </c>
      <c r="E36" s="489"/>
      <c r="F36" s="494">
        <f>$Z36-D36-B36</f>
        <v>0</v>
      </c>
      <c r="G36" s="489"/>
      <c r="H36" s="491"/>
      <c r="I36" s="489"/>
      <c r="J36" s="489"/>
      <c r="K36" s="489"/>
      <c r="L36" s="491"/>
      <c r="M36" s="487"/>
      <c r="N36" s="491"/>
      <c r="O36" s="489"/>
      <c r="P36" s="491"/>
      <c r="Q36" s="489"/>
      <c r="R36" s="491"/>
      <c r="S36" s="489"/>
      <c r="T36" s="491"/>
      <c r="U36" s="489"/>
      <c r="V36" s="491"/>
      <c r="W36" s="489"/>
      <c r="X36" s="491"/>
      <c r="Y36" s="489"/>
      <c r="Z36" s="830">
        <v>0</v>
      </c>
      <c r="AB36" s="1649"/>
    </row>
    <row r="37" spans="1:28">
      <c r="A37" s="349" t="s">
        <v>931</v>
      </c>
      <c r="B37" s="491">
        <v>0</v>
      </c>
      <c r="C37" s="491"/>
      <c r="D37" s="613">
        <v>0</v>
      </c>
      <c r="E37" s="489"/>
      <c r="F37" s="494">
        <f t="shared" ref="F37:F42" si="2">$Z37-D37-B37</f>
        <v>0</v>
      </c>
      <c r="G37" s="489"/>
      <c r="H37" s="491"/>
      <c r="I37" s="489"/>
      <c r="J37" s="489"/>
      <c r="K37" s="489"/>
      <c r="L37" s="491"/>
      <c r="M37" s="487"/>
      <c r="N37" s="491"/>
      <c r="O37" s="489"/>
      <c r="P37" s="491"/>
      <c r="Q37" s="489"/>
      <c r="R37" s="491"/>
      <c r="S37" s="489"/>
      <c r="T37" s="491"/>
      <c r="U37" s="489"/>
      <c r="V37" s="491"/>
      <c r="W37" s="489"/>
      <c r="X37" s="491"/>
      <c r="Y37" s="489"/>
      <c r="Z37" s="489">
        <v>0</v>
      </c>
      <c r="AB37" s="1649"/>
    </row>
    <row r="38" spans="1:28">
      <c r="A38" s="349" t="s">
        <v>932</v>
      </c>
      <c r="B38" s="491">
        <v>0</v>
      </c>
      <c r="C38" s="491"/>
      <c r="D38" s="613">
        <v>0</v>
      </c>
      <c r="E38" s="489"/>
      <c r="F38" s="494">
        <f t="shared" si="2"/>
        <v>0</v>
      </c>
      <c r="G38" s="489"/>
      <c r="H38" s="491"/>
      <c r="I38" s="489"/>
      <c r="J38" s="489"/>
      <c r="K38" s="489"/>
      <c r="L38" s="491"/>
      <c r="M38" s="487"/>
      <c r="N38" s="491"/>
      <c r="O38" s="489"/>
      <c r="P38" s="491"/>
      <c r="Q38" s="489"/>
      <c r="R38" s="491"/>
      <c r="S38" s="489"/>
      <c r="T38" s="491"/>
      <c r="U38" s="489"/>
      <c r="V38" s="491"/>
      <c r="W38" s="489"/>
      <c r="X38" s="491"/>
      <c r="Y38" s="489"/>
      <c r="Z38" s="489">
        <v>0</v>
      </c>
      <c r="AB38" s="1649"/>
    </row>
    <row r="39" spans="1:28">
      <c r="A39" s="349" t="s">
        <v>933</v>
      </c>
      <c r="B39" s="491" t="s">
        <v>103</v>
      </c>
      <c r="C39" s="599"/>
      <c r="D39" s="613"/>
      <c r="E39" s="599"/>
      <c r="F39" s="494"/>
      <c r="G39" s="599"/>
      <c r="H39" s="491"/>
      <c r="I39" s="599"/>
      <c r="K39" s="599"/>
      <c r="L39" s="491"/>
      <c r="M39" s="487"/>
      <c r="N39" s="491"/>
      <c r="O39" s="599"/>
      <c r="P39" s="491"/>
      <c r="Q39" s="599"/>
      <c r="R39" s="491"/>
      <c r="S39" s="599"/>
      <c r="T39" s="491"/>
      <c r="U39" s="599"/>
      <c r="V39" s="491"/>
      <c r="W39" s="599"/>
      <c r="X39" s="491"/>
      <c r="Y39" s="599"/>
      <c r="Z39" s="599" t="s">
        <v>103</v>
      </c>
      <c r="AB39" s="1649"/>
    </row>
    <row r="40" spans="1:28">
      <c r="A40" s="349" t="s">
        <v>934</v>
      </c>
      <c r="B40" s="491">
        <v>0</v>
      </c>
      <c r="C40" s="491"/>
      <c r="D40" s="613">
        <v>0</v>
      </c>
      <c r="E40" s="489"/>
      <c r="F40" s="494">
        <f t="shared" si="2"/>
        <v>0</v>
      </c>
      <c r="G40" s="489"/>
      <c r="H40" s="491"/>
      <c r="I40" s="489"/>
      <c r="J40" s="489"/>
      <c r="K40" s="489"/>
      <c r="L40" s="491"/>
      <c r="M40" s="487"/>
      <c r="N40" s="491"/>
      <c r="O40" s="489"/>
      <c r="P40" s="491"/>
      <c r="Q40" s="489"/>
      <c r="R40" s="491"/>
      <c r="S40" s="489"/>
      <c r="T40" s="491"/>
      <c r="U40" s="489"/>
      <c r="V40" s="491"/>
      <c r="W40" s="489"/>
      <c r="X40" s="491"/>
      <c r="Y40" s="489"/>
      <c r="Z40" s="489">
        <v>0</v>
      </c>
      <c r="AB40" s="1649"/>
    </row>
    <row r="41" spans="1:28">
      <c r="A41" s="349" t="s">
        <v>935</v>
      </c>
      <c r="B41" s="491">
        <v>0</v>
      </c>
      <c r="C41" s="491"/>
      <c r="D41" s="613">
        <v>0</v>
      </c>
      <c r="E41" s="489"/>
      <c r="F41" s="494">
        <f t="shared" si="2"/>
        <v>0</v>
      </c>
      <c r="G41" s="489"/>
      <c r="H41" s="491"/>
      <c r="I41" s="489"/>
      <c r="J41" s="489"/>
      <c r="K41" s="489"/>
      <c r="L41" s="491"/>
      <c r="M41" s="487"/>
      <c r="N41" s="491"/>
      <c r="O41" s="489"/>
      <c r="P41" s="491"/>
      <c r="Q41" s="489"/>
      <c r="R41" s="491"/>
      <c r="S41" s="489"/>
      <c r="T41" s="491"/>
      <c r="U41" s="489"/>
      <c r="V41" s="491"/>
      <c r="W41" s="489"/>
      <c r="X41" s="491"/>
      <c r="Y41" s="489"/>
      <c r="Z41" s="489">
        <v>0</v>
      </c>
      <c r="AB41" s="1649"/>
    </row>
    <row r="42" spans="1:28">
      <c r="A42" s="349" t="s">
        <v>936</v>
      </c>
      <c r="B42" s="491">
        <v>3321324</v>
      </c>
      <c r="C42" s="491"/>
      <c r="D42" s="613">
        <v>0</v>
      </c>
      <c r="E42" s="489"/>
      <c r="F42" s="494">
        <f t="shared" si="2"/>
        <v>0</v>
      </c>
      <c r="G42" s="489"/>
      <c r="H42" s="491"/>
      <c r="I42" s="489"/>
      <c r="J42" s="489"/>
      <c r="K42" s="489"/>
      <c r="L42" s="491"/>
      <c r="M42" s="487"/>
      <c r="N42" s="491"/>
      <c r="O42" s="489"/>
      <c r="P42" s="491"/>
      <c r="Q42" s="489"/>
      <c r="R42" s="491"/>
      <c r="S42" s="489"/>
      <c r="T42" s="491"/>
      <c r="U42" s="489"/>
      <c r="V42" s="491"/>
      <c r="W42" s="489"/>
      <c r="X42" s="491"/>
      <c r="Y42" s="489"/>
      <c r="Z42" s="489">
        <v>3321324</v>
      </c>
      <c r="AB42" s="1649"/>
    </row>
    <row r="43" spans="1:28" ht="15.75">
      <c r="A43" s="183" t="s">
        <v>937</v>
      </c>
      <c r="B43" s="600">
        <f>ROUND(SUM(B36:B42),0)</f>
        <v>3321324</v>
      </c>
      <c r="C43" s="491"/>
      <c r="D43" s="600">
        <f>ROUND(SUM(D36:D42),0)</f>
        <v>0</v>
      </c>
      <c r="E43" s="489"/>
      <c r="F43" s="600">
        <f>ROUND(SUM(F36:F42),0)</f>
        <v>0</v>
      </c>
      <c r="G43" s="489"/>
      <c r="H43" s="600">
        <f>ROUND(SUM(H36:H42),0)</f>
        <v>0</v>
      </c>
      <c r="I43" s="489"/>
      <c r="J43" s="600">
        <f>ROUND(SUM(J36:J42),0)</f>
        <v>0</v>
      </c>
      <c r="K43" s="489"/>
      <c r="L43" s="600">
        <f>ROUND(SUM(L36:L42),0)</f>
        <v>0</v>
      </c>
      <c r="M43" s="487"/>
      <c r="N43" s="600">
        <f>ROUND(SUM(N36:N42),0)</f>
        <v>0</v>
      </c>
      <c r="O43" s="489"/>
      <c r="P43" s="600">
        <f>ROUND(SUM(P36:P42),0)</f>
        <v>0</v>
      </c>
      <c r="Q43" s="489"/>
      <c r="R43" s="600">
        <f>ROUND(SUM(R36:R42),0)</f>
        <v>0</v>
      </c>
      <c r="S43" s="489"/>
      <c r="T43" s="600">
        <f>ROUND(SUM(T36:T42),0)</f>
        <v>0</v>
      </c>
      <c r="U43" s="489"/>
      <c r="V43" s="600">
        <f>ROUND(SUM(V36:V42),0)</f>
        <v>0</v>
      </c>
      <c r="W43" s="489"/>
      <c r="X43" s="600">
        <f>ROUND(SUM(X36:X42),0)</f>
        <v>0</v>
      </c>
      <c r="Y43" s="489"/>
      <c r="Z43" s="600">
        <f>ROUND(SUM(Z36:Z42),0)</f>
        <v>3321324</v>
      </c>
      <c r="AB43" s="1649"/>
    </row>
    <row r="44" spans="1:28">
      <c r="B44" s="614"/>
      <c r="C44" s="491"/>
      <c r="D44" s="614"/>
      <c r="E44" s="489"/>
      <c r="F44" s="1172"/>
      <c r="G44" s="489"/>
      <c r="H44" s="1172"/>
      <c r="I44" s="489"/>
      <c r="J44" s="614"/>
      <c r="K44" s="489"/>
      <c r="L44" s="614"/>
      <c r="M44" s="487"/>
      <c r="N44" s="614"/>
      <c r="O44" s="489"/>
      <c r="P44" s="614"/>
      <c r="Q44" s="489"/>
      <c r="R44" s="614"/>
      <c r="S44" s="489"/>
      <c r="T44" s="614"/>
      <c r="U44" s="489"/>
      <c r="V44" s="614"/>
      <c r="W44" s="489"/>
      <c r="X44" s="614"/>
      <c r="Y44" s="489"/>
      <c r="Z44" s="1086"/>
      <c r="AB44" s="1649"/>
    </row>
    <row r="45" spans="1:28" s="182" customFormat="1" ht="15.75">
      <c r="A45" s="183" t="s">
        <v>938</v>
      </c>
      <c r="B45" s="1087">
        <f>ROUND(B33-B43,0)</f>
        <v>430845200</v>
      </c>
      <c r="C45" s="184"/>
      <c r="D45" s="1087">
        <f>ROUND(D33-D43,0)</f>
        <v>380583110</v>
      </c>
      <c r="E45" s="184"/>
      <c r="F45" s="1087">
        <f>ROUND(F33-F43,0)</f>
        <v>748456836</v>
      </c>
      <c r="G45" s="184"/>
      <c r="H45" s="1087">
        <f>ROUND(H33-H43,0)</f>
        <v>0</v>
      </c>
      <c r="I45" s="184"/>
      <c r="J45" s="1087">
        <f>ROUND(J33-J43,0)</f>
        <v>0</v>
      </c>
      <c r="K45" s="184"/>
      <c r="L45" s="1087">
        <f>ROUND(L33-L43,0)</f>
        <v>0</v>
      </c>
      <c r="M45" s="179"/>
      <c r="N45" s="1087">
        <f>ROUND(N33-N43,0)</f>
        <v>0</v>
      </c>
      <c r="O45" s="184"/>
      <c r="P45" s="1087">
        <f>ROUND(P33-P43,0)</f>
        <v>0</v>
      </c>
      <c r="Q45" s="184"/>
      <c r="R45" s="1087">
        <f>ROUND(R33-R43,0)</f>
        <v>0</v>
      </c>
      <c r="S45" s="184"/>
      <c r="T45" s="1087">
        <f>ROUND(T33-T43,0)</f>
        <v>0</v>
      </c>
      <c r="U45" s="184"/>
      <c r="V45" s="1087">
        <f>ROUND(V33-V43,0)</f>
        <v>0</v>
      </c>
      <c r="W45" s="184"/>
      <c r="X45" s="1087">
        <f>ROUND(X33-X43,0)</f>
        <v>0</v>
      </c>
      <c r="Y45" s="184"/>
      <c r="Z45" s="1087">
        <f>ROUND(Z33-Z43,0)</f>
        <v>1559885146</v>
      </c>
      <c r="AA45" s="881"/>
      <c r="AB45" s="1650"/>
    </row>
    <row r="46" spans="1:28">
      <c r="A46" s="486"/>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601"/>
      <c r="AB46" s="1649"/>
    </row>
    <row r="47" spans="1:28" s="182" customFormat="1" ht="16.5" thickBot="1">
      <c r="A47" s="185" t="s">
        <v>939</v>
      </c>
      <c r="B47" s="819">
        <f>ROUND(B12+B25-B45,0)</f>
        <v>639929644</v>
      </c>
      <c r="C47" s="181"/>
      <c r="D47" s="819">
        <f>ROUND(D12+D25-D45,0)</f>
        <v>991622776</v>
      </c>
      <c r="E47" s="485"/>
      <c r="F47" s="819">
        <f>ROUND(F12+F25-F45,0)</f>
        <v>1105404880</v>
      </c>
      <c r="G47" s="485"/>
      <c r="H47" s="819">
        <f>ROUND(H12+H25-H45,0)</f>
        <v>0</v>
      </c>
      <c r="I47" s="485"/>
      <c r="J47" s="819">
        <f>ROUND(J12+J25-J45,0)</f>
        <v>0</v>
      </c>
      <c r="K47" s="181"/>
      <c r="L47" s="819">
        <f>ROUND(L12+L25-L45,0)</f>
        <v>0</v>
      </c>
      <c r="M47" s="179"/>
      <c r="N47" s="819">
        <f>ROUND(N12+N25-N45,0)</f>
        <v>0</v>
      </c>
      <c r="O47" s="181"/>
      <c r="P47" s="819">
        <f>ROUND(P12+P25-P45,0)</f>
        <v>0</v>
      </c>
      <c r="Q47" s="181"/>
      <c r="R47" s="819">
        <f>ROUND(R12+R25-R45,0)</f>
        <v>0</v>
      </c>
      <c r="S47" s="181"/>
      <c r="T47" s="819">
        <f>ROUND(T12+T25-T45,0)</f>
        <v>0</v>
      </c>
      <c r="U47" s="181"/>
      <c r="V47" s="819">
        <f>ROUND(V12+V25-V45,0)</f>
        <v>0</v>
      </c>
      <c r="W47" s="181"/>
      <c r="X47" s="819">
        <f>ROUND(X12+X25-X45,0)</f>
        <v>0</v>
      </c>
      <c r="Y47" s="181"/>
      <c r="Z47" s="819">
        <f>ROUND(Z12+Z25-Z45,0)</f>
        <v>1105404880</v>
      </c>
      <c r="AA47" s="881"/>
      <c r="AB47" s="1649"/>
    </row>
    <row r="48" spans="1:28" ht="15.75" thickTop="1">
      <c r="A48" s="486"/>
      <c r="B48" s="483"/>
      <c r="C48" s="483"/>
      <c r="D48" s="483"/>
      <c r="E48" s="484"/>
      <c r="G48" s="484"/>
      <c r="H48" s="483"/>
      <c r="I48" s="484"/>
      <c r="J48" s="483"/>
      <c r="K48" s="483"/>
      <c r="L48" s="483"/>
      <c r="M48" s="484"/>
      <c r="N48" s="483"/>
      <c r="O48" s="484"/>
      <c r="P48" s="483"/>
      <c r="Q48" s="484"/>
      <c r="R48" s="483"/>
      <c r="S48" s="484"/>
      <c r="T48" s="483"/>
      <c r="U48" s="484"/>
      <c r="V48" s="483"/>
      <c r="W48" s="484"/>
      <c r="X48" s="483"/>
      <c r="Y48" s="484"/>
      <c r="Z48" s="601"/>
    </row>
    <row r="49" spans="1:26">
      <c r="A49" s="186"/>
      <c r="B49" s="483"/>
      <c r="C49" s="483"/>
      <c r="D49" s="483"/>
      <c r="E49" s="484"/>
      <c r="F49" s="483"/>
      <c r="G49" s="484"/>
      <c r="H49" s="483"/>
      <c r="I49" s="484"/>
      <c r="J49" s="483"/>
      <c r="K49" s="483"/>
      <c r="L49" s="483"/>
      <c r="M49" s="484"/>
      <c r="N49" s="483"/>
      <c r="O49" s="484"/>
      <c r="P49" s="483"/>
      <c r="Q49" s="484"/>
      <c r="R49" s="483"/>
      <c r="S49" s="484"/>
      <c r="T49" s="483"/>
      <c r="U49" s="484"/>
      <c r="V49" s="483"/>
      <c r="W49" s="484"/>
      <c r="X49" s="483"/>
      <c r="Y49" s="484"/>
      <c r="Z49" s="182"/>
    </row>
    <row r="50" spans="1:26">
      <c r="Z50" s="605" t="s">
        <v>103</v>
      </c>
    </row>
    <row r="51" spans="1:26" ht="18">
      <c r="A51" s="602"/>
      <c r="B51" s="479"/>
      <c r="C51" s="479"/>
      <c r="D51" s="479"/>
      <c r="E51" s="166"/>
      <c r="F51" s="479"/>
      <c r="G51" s="166"/>
      <c r="H51" s="479"/>
      <c r="I51" s="166"/>
      <c r="J51" s="479"/>
      <c r="K51" s="479"/>
      <c r="L51" s="479"/>
      <c r="M51" s="484"/>
      <c r="N51" s="479"/>
      <c r="O51" s="166"/>
      <c r="P51" s="479"/>
      <c r="Q51" s="166"/>
      <c r="R51" s="479"/>
      <c r="S51" s="166"/>
      <c r="T51" s="479"/>
      <c r="U51" s="166"/>
      <c r="V51" s="479"/>
      <c r="W51" s="166"/>
      <c r="X51" s="479"/>
      <c r="Y51" s="166"/>
      <c r="Z51" s="597" t="s">
        <v>103</v>
      </c>
    </row>
    <row r="52" spans="1:26">
      <c r="A52" s="482"/>
      <c r="B52" s="483"/>
      <c r="C52" s="483"/>
      <c r="D52" s="483"/>
      <c r="E52" s="484"/>
      <c r="F52" s="483"/>
      <c r="G52" s="484"/>
      <c r="H52" s="483"/>
      <c r="I52" s="484"/>
      <c r="J52" s="483"/>
      <c r="K52" s="483"/>
      <c r="L52" s="483"/>
      <c r="M52" s="484"/>
      <c r="N52" s="483"/>
      <c r="O52" s="484"/>
      <c r="P52" s="483"/>
      <c r="Q52" s="484"/>
      <c r="R52" s="483"/>
      <c r="S52" s="484"/>
      <c r="T52" s="483"/>
      <c r="U52" s="484"/>
      <c r="V52" s="483"/>
      <c r="W52" s="484"/>
      <c r="X52" s="483"/>
      <c r="Y52" s="484"/>
      <c r="Z52" s="598" t="s">
        <v>103</v>
      </c>
    </row>
    <row r="53" spans="1:26">
      <c r="A53" s="482"/>
      <c r="B53" s="483"/>
      <c r="C53" s="483"/>
      <c r="D53" s="483"/>
      <c r="E53" s="484"/>
      <c r="F53" s="483"/>
      <c r="G53" s="484"/>
      <c r="H53" s="483"/>
      <c r="I53" s="484"/>
      <c r="J53" s="483"/>
      <c r="K53" s="483"/>
      <c r="L53" s="483"/>
      <c r="M53" s="484"/>
      <c r="N53" s="483"/>
      <c r="O53" s="484"/>
      <c r="P53" s="483"/>
      <c r="Q53" s="484"/>
      <c r="R53" s="483"/>
      <c r="S53" s="484"/>
      <c r="T53" s="483"/>
      <c r="U53" s="484"/>
      <c r="V53" s="483"/>
      <c r="W53" s="484"/>
      <c r="X53" s="483"/>
      <c r="Y53" s="484"/>
      <c r="Z53" s="598" t="s">
        <v>103</v>
      </c>
    </row>
    <row r="54" spans="1:26">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603" t="s">
        <v>103</v>
      </c>
    </row>
    <row r="55" spans="1:26">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603"/>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603"/>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603"/>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603"/>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603"/>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603"/>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603"/>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603"/>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603"/>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603"/>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603"/>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603"/>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603"/>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603"/>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603"/>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603"/>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603"/>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603"/>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603"/>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603"/>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603"/>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603"/>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603"/>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603"/>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603"/>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603"/>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603"/>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603"/>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603"/>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603"/>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603"/>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603"/>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603"/>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603"/>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603"/>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603"/>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603"/>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603"/>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603"/>
    </row>
    <row r="94" spans="1:26">
      <c r="A94" s="163"/>
      <c r="B94" s="165"/>
      <c r="C94" s="165"/>
      <c r="D94" s="165"/>
      <c r="E94" s="166"/>
      <c r="F94" s="165"/>
      <c r="G94" s="166"/>
      <c r="H94" s="165"/>
      <c r="I94" s="166"/>
      <c r="J94" s="165"/>
      <c r="K94" s="165"/>
      <c r="L94" s="165"/>
      <c r="M94" s="166"/>
      <c r="N94" s="165"/>
      <c r="O94" s="166"/>
      <c r="P94" s="165"/>
      <c r="Q94" s="166"/>
      <c r="R94" s="165"/>
      <c r="S94" s="166"/>
      <c r="T94" s="165"/>
      <c r="U94" s="166"/>
      <c r="V94" s="165"/>
      <c r="W94" s="166"/>
      <c r="X94" s="165"/>
      <c r="Y94" s="166"/>
      <c r="Z94" s="603"/>
    </row>
    <row r="95" spans="1:26">
      <c r="A95" s="163"/>
      <c r="B95" s="165"/>
      <c r="C95" s="165"/>
      <c r="D95" s="165"/>
      <c r="E95" s="166"/>
      <c r="F95" s="165"/>
      <c r="G95" s="166"/>
      <c r="H95" s="165"/>
      <c r="I95" s="166"/>
      <c r="J95" s="165"/>
      <c r="K95" s="165"/>
      <c r="L95" s="165"/>
      <c r="M95" s="166"/>
      <c r="N95" s="165"/>
      <c r="O95" s="166"/>
      <c r="P95" s="165"/>
      <c r="Q95" s="166"/>
      <c r="R95" s="165"/>
      <c r="S95" s="166"/>
      <c r="T95" s="165"/>
      <c r="U95" s="166"/>
      <c r="V95" s="165"/>
      <c r="W95" s="166"/>
      <c r="X95" s="165"/>
      <c r="Y95" s="166"/>
      <c r="Z95" s="603"/>
    </row>
    <row r="96" spans="1:26">
      <c r="A96" s="163"/>
      <c r="B96" s="165"/>
      <c r="C96" s="165"/>
      <c r="D96" s="165"/>
      <c r="E96" s="166"/>
      <c r="F96" s="165"/>
      <c r="G96" s="166"/>
      <c r="H96" s="165"/>
      <c r="I96" s="166"/>
      <c r="J96" s="165"/>
      <c r="K96" s="165"/>
      <c r="L96" s="165"/>
      <c r="M96" s="166"/>
      <c r="N96" s="165"/>
      <c r="O96" s="166"/>
      <c r="P96" s="165"/>
      <c r="Q96" s="166"/>
      <c r="R96" s="165"/>
      <c r="S96" s="166"/>
      <c r="T96" s="165"/>
      <c r="U96" s="166"/>
      <c r="V96" s="165"/>
      <c r="W96" s="166"/>
      <c r="X96" s="165"/>
      <c r="Y96" s="166"/>
      <c r="Z96" s="603"/>
    </row>
  </sheetData>
  <customSheetViews>
    <customSheetView guid="{83D69B98-1714-4D17-901F-87B47BE66947}" scale="80" showPageBreaks="1" showGridLines="0" fitToPage="1" printArea="1" topLeftCell="B12">
      <selection activeCell="D53" sqref="D53"/>
      <colBreaks count="1" manualBreakCount="1">
        <brk id="30" max="54" man="1"/>
      </colBreaks>
      <pageMargins left="0.25" right="0.25" top="0.5" bottom="0.25" header="0" footer="0.25"/>
      <printOptions horizontalCentered="1"/>
      <pageSetup scale="10" firstPageNumber="47" orientation="landscape" useFirstPageNumber="1" r:id="rId1"/>
      <headerFooter scaleWithDoc="0" alignWithMargins="0">
        <oddHeader xml:space="preserve">&amp;L&amp;14 </oddHeader>
        <oddFooter>&amp;C&amp;8&amp;P</oddFooter>
      </headerFooter>
    </customSheetView>
    <customSheetView guid="{F9AE1502-86F7-4AAA-AE66-F6A75A634C1B}"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10" firstPageNumber="47" orientation="landscape" useFirstPageNumber="1" r:id="rId2"/>
      <headerFooter scaleWithDoc="0" alignWithMargins="0">
        <oddHeader xml:space="preserve">&amp;L&amp;14 </oddHeader>
        <oddFooter>&amp;C&amp;8&amp;P</oddFooter>
      </headerFooter>
    </customSheetView>
    <customSheetView guid="{C41E3923-0A88-49D0-AE43-0E74D386A056}"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10" firstPageNumber="47" orientation="landscape" useFirstPageNumber="1" r:id="rId3"/>
      <headerFooter scaleWithDoc="0" alignWithMargins="0">
        <oddHeader xml:space="preserve">&amp;L&amp;14 </oddHeader>
        <oddFooter>&amp;C&amp;8&amp;P</oddFooter>
      </headerFooter>
    </customSheetView>
    <customSheetView guid="{1DF171D7-3BFC-49F6-B708-0F91FCFAB6E2}"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4"/>
      <headerFooter scaleWithDoc="0" alignWithMargins="0">
        <oddHeader xml:space="preserve">&amp;L&amp;14 </oddHeader>
        <oddFooter>&amp;C&amp;8&amp;P</oddFooter>
      </headerFooter>
    </customSheetView>
    <customSheetView guid="{9F00D83C-7F4F-41B5-9976-8610D9EBC976}"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10" firstPageNumber="47" orientation="landscape" useFirstPageNumber="1" r:id="rId5"/>
      <headerFooter scaleWithDoc="0" alignWithMargins="0">
        <oddHeader xml:space="preserve">&amp;L&amp;14 </oddHeader>
        <oddFooter>&amp;C&amp;8&amp;P</oddFooter>
      </headerFooter>
    </customSheetView>
    <customSheetView guid="{D1467C25-646C-4F1A-9353-0E890E575522}" scale="80" showPageBreaks="1" showGridLines="0" fitToPage="1" printArea="1" topLeftCell="B12">
      <selection activeCell="B17" sqref="B17"/>
      <colBreaks count="1" manualBreakCount="1">
        <brk id="30" max="54" man="1"/>
      </colBreaks>
      <pageMargins left="0.25" right="0.25" top="0.5" bottom="0.25" header="0" footer="0.25"/>
      <printOptions horizontalCentered="1"/>
      <pageSetup scale="10" firstPageNumber="47" orientation="landscape" useFirstPageNumber="1" r:id="rId6"/>
      <headerFooter scaleWithDoc="0" alignWithMargins="0">
        <oddHeader xml:space="preserve">&amp;L&amp;14 </oddHeader>
        <oddFooter>&amp;C&amp;8&amp;P</oddFooter>
      </headerFooter>
    </customSheetView>
    <customSheetView guid="{3A50DD26-AAF5-43D4-97DE-BAE3367A2F29}" scale="80" showPageBreaks="1" showGridLines="0" fitToPage="1" printArea="1" topLeftCell="L23">
      <selection activeCell="Z42" sqref="Z42"/>
      <colBreaks count="1" manualBreakCount="1">
        <brk id="30" max="54" man="1"/>
      </colBreaks>
      <pageMargins left="0.25" right="0.25" top="0.5" bottom="0.25" header="0" footer="0.25"/>
      <printOptions horizontalCentered="1"/>
      <pageSetup scale="10" firstPageNumber="47" orientation="landscape" useFirstPageNumber="1" r:id="rId7"/>
      <headerFooter scaleWithDoc="0" alignWithMargins="0">
        <oddHeader xml:space="preserve">&amp;L&amp;14 </oddHeader>
        <oddFooter>&amp;C&amp;8&amp;P</oddFooter>
      </headerFooter>
    </customSheetView>
    <customSheetView guid="{C3636880-B45B-4897-94F2-F91976416934}" scale="80" showPageBreaks="1" showGridLines="0" fitToPage="1" printArea="1" topLeftCell="B14">
      <selection activeCell="D53" sqref="D53"/>
      <colBreaks count="1" manualBreakCount="1">
        <brk id="30" max="54" man="1"/>
      </colBreaks>
      <pageMargins left="0.25" right="0.25" top="0.5" bottom="0.25" header="0" footer="0.25"/>
      <printOptions horizontalCentered="1"/>
      <pageSetup scale="38" firstPageNumber="47" orientation="landscape" useFirstPageNumber="1" r:id="rId8"/>
      <headerFooter scaleWithDoc="0" alignWithMargins="0">
        <oddHeader xml:space="preserve">&amp;L&amp;14 </oddHeader>
        <oddFooter>&amp;C&amp;8&amp;P</oddFooter>
      </headerFooter>
    </customSheetView>
  </customSheetViews>
  <printOptions horizontalCentered="1"/>
  <pageMargins left="0.25" right="0.25" top="0.5" bottom="0.25" header="0" footer="0.25"/>
  <pageSetup scale="38" firstPageNumber="47" orientation="landscape" useFirstPageNumber="1" r:id="rId9"/>
  <headerFooter scaleWithDoc="0" alignWithMargins="0">
    <oddHeader xml:space="preserve">&amp;L&amp;14 </oddHeader>
    <oddFooter>&amp;C&amp;8&amp;P</oddFooter>
  </headerFooter>
  <colBreaks count="1" manualBreakCount="1">
    <brk id="30" max="54" man="1"/>
  </colBreaks>
  <customProperties>
    <customPr name="SheetOptions" r:id="rId10"/>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375" customWidth="1"/>
    <col min="2" max="2" width="22.109375" style="375" customWidth="1"/>
    <col min="3" max="3" width="24.88671875" style="375" customWidth="1"/>
    <col min="4" max="4" width="30.88671875" style="375" customWidth="1"/>
    <col min="5" max="5" width="2" style="375" customWidth="1"/>
    <col min="6" max="6" width="13" style="660" bestFit="1" customWidth="1"/>
    <col min="7" max="16384" width="8.88671875" style="375"/>
  </cols>
  <sheetData>
    <row r="1" spans="1:6">
      <c r="A1" s="841" t="s">
        <v>97</v>
      </c>
      <c r="B1" s="566"/>
      <c r="C1" s="566"/>
      <c r="D1" s="566"/>
      <c r="E1" s="376"/>
    </row>
    <row r="2" spans="1:6">
      <c r="A2" s="842"/>
      <c r="B2" s="566"/>
      <c r="C2" s="566"/>
      <c r="D2" s="546"/>
      <c r="E2" s="376"/>
    </row>
    <row r="3" spans="1:6" s="259" customFormat="1" ht="15">
      <c r="A3" s="261" t="s">
        <v>940</v>
      </c>
      <c r="B3" s="566"/>
      <c r="C3" s="566"/>
      <c r="D3" s="873" t="s">
        <v>941</v>
      </c>
      <c r="E3" s="830"/>
      <c r="F3" s="661"/>
    </row>
    <row r="4" spans="1:6" s="259" customFormat="1" ht="15">
      <c r="A4" s="261" t="s">
        <v>942</v>
      </c>
      <c r="B4" s="566"/>
      <c r="C4" s="566"/>
      <c r="D4" s="566"/>
      <c r="E4" s="830"/>
      <c r="F4" s="661"/>
    </row>
    <row r="5" spans="1:6" s="259" customFormat="1" ht="15">
      <c r="A5" s="261" t="s">
        <v>943</v>
      </c>
      <c r="B5" s="566"/>
      <c r="C5" s="566"/>
      <c r="D5" s="566"/>
      <c r="E5" s="830"/>
      <c r="F5" s="661"/>
    </row>
    <row r="6" spans="1:6" s="259" customFormat="1" ht="15">
      <c r="A6" s="557" t="str">
        <f>'HCRA '!A6</f>
        <v>FISCAL YEAR 2026-2027</v>
      </c>
      <c r="B6" s="566"/>
      <c r="C6" s="566"/>
      <c r="D6" s="566"/>
      <c r="E6" s="830"/>
      <c r="F6" s="661"/>
    </row>
    <row r="7" spans="1:6">
      <c r="A7" s="557"/>
      <c r="B7" s="566"/>
      <c r="C7" s="566"/>
      <c r="D7" s="566"/>
      <c r="E7" s="376"/>
    </row>
    <row r="8" spans="1:6" ht="27" customHeight="1">
      <c r="A8" s="902" t="s">
        <v>944</v>
      </c>
      <c r="B8" s="902" t="s">
        <v>945</v>
      </c>
      <c r="C8" s="1653" t="str">
        <f>PROPER('Sch 5 '!E12)</f>
        <v>June</v>
      </c>
      <c r="D8" s="1270" t="str">
        <f>PROPER('Cashflow Governmental'!AB12)&amp; ", 2026"&amp; " (**)"</f>
        <v>3 Months Ended June 30, 2026 (**)</v>
      </c>
      <c r="E8" s="831"/>
    </row>
    <row r="9" spans="1:6" s="259" customFormat="1">
      <c r="E9" s="584"/>
      <c r="F9" s="661"/>
    </row>
    <row r="10" spans="1:6" s="259" customFormat="1" ht="15">
      <c r="A10" s="913" t="s">
        <v>946</v>
      </c>
      <c r="B10" s="918">
        <v>7680000</v>
      </c>
      <c r="C10" s="918">
        <v>389471.32999999996</v>
      </c>
      <c r="D10" s="918">
        <v>684594.3</v>
      </c>
      <c r="E10" s="832"/>
      <c r="F10" s="661"/>
    </row>
    <row r="11" spans="1:6" s="259" customFormat="1">
      <c r="A11" s="909" t="s">
        <v>947</v>
      </c>
      <c r="B11" s="342">
        <v>7680000</v>
      </c>
      <c r="C11" s="342">
        <v>389471.32999999996</v>
      </c>
      <c r="D11" s="342">
        <v>684594.3</v>
      </c>
      <c r="E11" s="584"/>
      <c r="F11" s="661"/>
    </row>
    <row r="12" spans="1:6" s="259" customFormat="1">
      <c r="A12" s="913" t="s">
        <v>948</v>
      </c>
      <c r="B12" s="914">
        <v>4678842000</v>
      </c>
      <c r="C12" s="914">
        <v>166324820.38</v>
      </c>
      <c r="D12" s="914">
        <v>316431921.63</v>
      </c>
      <c r="E12" s="584"/>
      <c r="F12" s="661"/>
    </row>
    <row r="13" spans="1:6" s="259" customFormat="1">
      <c r="A13" s="909" t="s">
        <v>949</v>
      </c>
      <c r="B13" s="342">
        <v>4678842000</v>
      </c>
      <c r="C13" s="342">
        <v>166324820.38</v>
      </c>
      <c r="D13" s="342">
        <v>316431921.63</v>
      </c>
      <c r="E13" s="584"/>
      <c r="F13" s="661"/>
    </row>
    <row r="14" spans="1:6" s="259" customFormat="1">
      <c r="A14" s="913" t="s">
        <v>950</v>
      </c>
      <c r="B14" s="914">
        <v>397096000</v>
      </c>
      <c r="C14" s="914">
        <v>3393167.62</v>
      </c>
      <c r="D14" s="914">
        <v>6830310.0800000001</v>
      </c>
      <c r="E14" s="584"/>
      <c r="F14" s="661"/>
    </row>
    <row r="15" spans="1:6" s="259" customFormat="1">
      <c r="A15" s="909" t="s">
        <v>951</v>
      </c>
      <c r="B15" s="342">
        <v>397096000</v>
      </c>
      <c r="C15" s="342">
        <v>3393167.62</v>
      </c>
      <c r="D15" s="342">
        <v>6830310.0800000001</v>
      </c>
      <c r="E15" s="584"/>
      <c r="F15" s="661"/>
    </row>
    <row r="16" spans="1:6" s="259" customFormat="1">
      <c r="A16" s="913" t="s">
        <v>952</v>
      </c>
      <c r="B16" s="914">
        <v>2515355059.0299997</v>
      </c>
      <c r="C16" s="914">
        <v>173119710.47999999</v>
      </c>
      <c r="D16" s="914">
        <v>175700231.39000002</v>
      </c>
      <c r="E16" s="584"/>
      <c r="F16" s="661"/>
    </row>
    <row r="17" spans="1:6" s="259" customFormat="1">
      <c r="A17" s="909" t="s">
        <v>953</v>
      </c>
      <c r="B17" s="342">
        <v>214850000</v>
      </c>
      <c r="C17" s="342">
        <v>0</v>
      </c>
      <c r="D17" s="342">
        <v>0</v>
      </c>
      <c r="E17" s="584"/>
      <c r="F17" s="661"/>
    </row>
    <row r="18" spans="1:6" s="259" customFormat="1">
      <c r="A18" s="913" t="s">
        <v>954</v>
      </c>
      <c r="B18" s="914">
        <v>3537000</v>
      </c>
      <c r="C18" s="914">
        <v>0</v>
      </c>
      <c r="D18" s="914">
        <v>0</v>
      </c>
      <c r="E18" s="584"/>
      <c r="F18" s="661"/>
    </row>
    <row r="19" spans="1:6" s="259" customFormat="1">
      <c r="A19" s="909" t="s">
        <v>955</v>
      </c>
      <c r="B19" s="342">
        <v>14662000</v>
      </c>
      <c r="C19" s="342">
        <v>0</v>
      </c>
      <c r="D19" s="342">
        <v>136713.31</v>
      </c>
      <c r="E19" s="584"/>
      <c r="F19" s="661"/>
    </row>
    <row r="20" spans="1:6" s="259" customFormat="1">
      <c r="A20" s="909" t="s">
        <v>956</v>
      </c>
      <c r="B20" s="342">
        <v>51840600</v>
      </c>
      <c r="C20" s="342">
        <v>0</v>
      </c>
      <c r="D20" s="342">
        <v>0</v>
      </c>
      <c r="E20" s="584"/>
      <c r="F20" s="661"/>
    </row>
    <row r="21" spans="1:6" s="259" customFormat="1">
      <c r="A21" s="909" t="s">
        <v>957</v>
      </c>
      <c r="B21" s="342">
        <v>163200000</v>
      </c>
      <c r="C21" s="342">
        <v>0</v>
      </c>
      <c r="D21" s="342">
        <v>0</v>
      </c>
      <c r="E21" s="584"/>
      <c r="F21" s="661"/>
    </row>
    <row r="22" spans="1:6" s="259" customFormat="1">
      <c r="A22" s="909" t="s">
        <v>958</v>
      </c>
      <c r="B22" s="342">
        <v>6232000</v>
      </c>
      <c r="C22" s="342">
        <v>48636.28</v>
      </c>
      <c r="D22" s="342">
        <v>48636.280000000013</v>
      </c>
      <c r="E22" s="584"/>
      <c r="F22" s="661"/>
    </row>
    <row r="23" spans="1:6" s="259" customFormat="1">
      <c r="A23" s="909" t="s">
        <v>959</v>
      </c>
      <c r="B23" s="342">
        <v>13780000</v>
      </c>
      <c r="C23" s="342">
        <v>0</v>
      </c>
      <c r="D23" s="342">
        <v>0</v>
      </c>
      <c r="E23" s="584"/>
      <c r="F23" s="661"/>
    </row>
    <row r="24" spans="1:6" s="259" customFormat="1">
      <c r="A24" s="909" t="s">
        <v>960</v>
      </c>
      <c r="B24" s="342">
        <v>9840000</v>
      </c>
      <c r="C24" s="342">
        <v>2600216.0699999998</v>
      </c>
      <c r="D24" s="342">
        <v>2851524.55</v>
      </c>
      <c r="E24" s="584"/>
      <c r="F24" s="661"/>
    </row>
    <row r="25" spans="1:6" s="259" customFormat="1">
      <c r="A25" s="909" t="s">
        <v>961</v>
      </c>
      <c r="B25" s="342">
        <v>158800000</v>
      </c>
      <c r="C25" s="342">
        <v>0</v>
      </c>
      <c r="D25" s="342">
        <v>0</v>
      </c>
      <c r="E25" s="584"/>
      <c r="F25" s="661"/>
    </row>
    <row r="26" spans="1:6" s="259" customFormat="1">
      <c r="A26" s="909" t="s">
        <v>962</v>
      </c>
      <c r="B26" s="342">
        <v>18320000</v>
      </c>
      <c r="C26" s="342">
        <v>0</v>
      </c>
      <c r="D26" s="342">
        <v>0</v>
      </c>
      <c r="E26" s="584"/>
      <c r="F26" s="661"/>
    </row>
    <row r="27" spans="1:6" s="259" customFormat="1">
      <c r="A27" s="909" t="s">
        <v>963</v>
      </c>
      <c r="B27" s="342">
        <v>11466000</v>
      </c>
      <c r="C27" s="342">
        <v>0</v>
      </c>
      <c r="D27" s="342">
        <v>62460.4</v>
      </c>
      <c r="E27" s="376"/>
      <c r="F27" s="661"/>
    </row>
    <row r="28" spans="1:6" s="259" customFormat="1">
      <c r="A28" s="909" t="s">
        <v>964</v>
      </c>
      <c r="B28" s="342">
        <v>528500000</v>
      </c>
      <c r="C28" s="342">
        <v>155500000</v>
      </c>
      <c r="D28" s="342">
        <v>155500000</v>
      </c>
      <c r="E28" s="376"/>
      <c r="F28" s="661"/>
    </row>
    <row r="29" spans="1:6">
      <c r="A29" s="909" t="s">
        <v>965</v>
      </c>
      <c r="B29" s="342">
        <v>14500000</v>
      </c>
      <c r="C29" s="342">
        <v>7500</v>
      </c>
      <c r="D29" s="342">
        <v>67165.11</v>
      </c>
      <c r="E29" s="376"/>
    </row>
    <row r="30" spans="1:6">
      <c r="A30" s="909" t="s">
        <v>966</v>
      </c>
      <c r="B30" s="342">
        <v>70306000</v>
      </c>
      <c r="C30" s="342">
        <v>317256.89</v>
      </c>
      <c r="D30" s="342">
        <v>774068.46000000008</v>
      </c>
      <c r="E30" s="376"/>
    </row>
    <row r="31" spans="1:6">
      <c r="A31" s="909" t="s">
        <v>967</v>
      </c>
      <c r="B31" s="342">
        <v>1150000</v>
      </c>
      <c r="C31" s="342">
        <v>0</v>
      </c>
      <c r="D31" s="342">
        <v>0</v>
      </c>
      <c r="E31" s="376"/>
    </row>
    <row r="32" spans="1:6">
      <c r="A32" s="909" t="s">
        <v>968</v>
      </c>
      <c r="B32" s="342">
        <v>340600000</v>
      </c>
      <c r="C32" s="342">
        <v>0</v>
      </c>
      <c r="D32" s="342">
        <v>0</v>
      </c>
      <c r="E32" s="376"/>
    </row>
    <row r="33" spans="1:5">
      <c r="A33" s="909" t="s">
        <v>969</v>
      </c>
      <c r="B33" s="342">
        <v>115582000</v>
      </c>
      <c r="C33" s="342">
        <v>80000</v>
      </c>
      <c r="D33" s="342">
        <v>773375.15999999992</v>
      </c>
      <c r="E33" s="833"/>
    </row>
    <row r="34" spans="1:5">
      <c r="A34" s="909" t="s">
        <v>970</v>
      </c>
      <c r="B34" s="342">
        <v>1461000</v>
      </c>
      <c r="C34" s="342">
        <v>0</v>
      </c>
      <c r="D34" s="342">
        <v>0</v>
      </c>
      <c r="E34" s="376"/>
    </row>
    <row r="35" spans="1:5">
      <c r="A35" s="909" t="s">
        <v>971</v>
      </c>
      <c r="B35" s="342">
        <v>15920000</v>
      </c>
      <c r="C35" s="342">
        <v>0</v>
      </c>
      <c r="D35" s="342">
        <v>0</v>
      </c>
      <c r="E35" s="376"/>
    </row>
    <row r="36" spans="1:5">
      <c r="A36" s="909" t="s">
        <v>972</v>
      </c>
      <c r="B36" s="342">
        <v>5698000</v>
      </c>
      <c r="C36" s="342">
        <v>402975.4</v>
      </c>
      <c r="D36" s="342">
        <v>402975.4</v>
      </c>
      <c r="E36" s="376"/>
    </row>
    <row r="37" spans="1:5">
      <c r="A37" s="909" t="s">
        <v>973</v>
      </c>
      <c r="B37" s="342">
        <v>166389000</v>
      </c>
      <c r="C37" s="342">
        <v>13865750</v>
      </c>
      <c r="D37" s="342">
        <v>13865750</v>
      </c>
      <c r="E37" s="376"/>
    </row>
    <row r="38" spans="1:5">
      <c r="A38" s="909" t="s">
        <v>974</v>
      </c>
      <c r="B38" s="342">
        <v>50000</v>
      </c>
      <c r="C38" s="342">
        <v>0</v>
      </c>
      <c r="D38" s="342">
        <v>0</v>
      </c>
      <c r="E38" s="376"/>
    </row>
    <row r="39" spans="1:5">
      <c r="A39" s="909" t="s">
        <v>975</v>
      </c>
      <c r="B39" s="342">
        <v>15950000</v>
      </c>
      <c r="C39" s="342">
        <v>0</v>
      </c>
      <c r="D39" s="342">
        <v>0</v>
      </c>
      <c r="E39" s="376"/>
    </row>
    <row r="40" spans="1:5">
      <c r="A40" s="909" t="s">
        <v>976</v>
      </c>
      <c r="B40" s="342">
        <v>47050000</v>
      </c>
      <c r="C40" s="342">
        <v>297375.84000000003</v>
      </c>
      <c r="D40" s="342">
        <v>1217562.72</v>
      </c>
      <c r="E40" s="376"/>
    </row>
    <row r="41" spans="1:5">
      <c r="A41" s="909" t="s">
        <v>977</v>
      </c>
      <c r="B41" s="342">
        <v>5500400</v>
      </c>
      <c r="C41" s="342">
        <v>0</v>
      </c>
      <c r="D41" s="342">
        <v>0</v>
      </c>
      <c r="E41" s="376"/>
    </row>
    <row r="42" spans="1:5">
      <c r="A42" s="909" t="s">
        <v>978</v>
      </c>
      <c r="B42" s="342">
        <v>11610000</v>
      </c>
      <c r="C42" s="342">
        <v>0</v>
      </c>
      <c r="D42" s="342">
        <v>0</v>
      </c>
      <c r="E42" s="376"/>
    </row>
    <row r="43" spans="1:5">
      <c r="A43" s="909" t="s">
        <v>979</v>
      </c>
      <c r="B43" s="342">
        <v>6345000</v>
      </c>
      <c r="C43" s="342">
        <v>0</v>
      </c>
      <c r="D43" s="342">
        <v>0</v>
      </c>
      <c r="E43" s="376"/>
    </row>
    <row r="44" spans="1:5">
      <c r="A44" s="909" t="s">
        <v>980</v>
      </c>
      <c r="B44" s="342">
        <v>12690000</v>
      </c>
      <c r="C44" s="342">
        <v>0</v>
      </c>
      <c r="D44" s="342">
        <v>0</v>
      </c>
      <c r="E44" s="376"/>
    </row>
    <row r="45" spans="1:5">
      <c r="A45" s="909" t="s">
        <v>981</v>
      </c>
      <c r="B45" s="342">
        <v>489526059.02999997</v>
      </c>
      <c r="C45" s="342">
        <v>0</v>
      </c>
      <c r="D45" s="342">
        <v>0</v>
      </c>
      <c r="E45" s="376"/>
    </row>
    <row r="46" spans="1:5">
      <c r="A46" s="913" t="s">
        <v>982</v>
      </c>
      <c r="B46" s="914">
        <v>16974721000</v>
      </c>
      <c r="C46" s="914">
        <v>400000000</v>
      </c>
      <c r="D46" s="914">
        <v>1050000000</v>
      </c>
      <c r="E46" s="376"/>
    </row>
    <row r="47" spans="1:5">
      <c r="A47" s="909" t="s">
        <v>983</v>
      </c>
      <c r="B47" s="342">
        <v>150000000</v>
      </c>
      <c r="C47" s="342">
        <v>0</v>
      </c>
      <c r="D47" s="342">
        <v>0</v>
      </c>
      <c r="E47" s="376"/>
    </row>
    <row r="48" spans="1:5">
      <c r="A48" s="909" t="s">
        <v>984</v>
      </c>
      <c r="B48" s="342">
        <v>1893300000</v>
      </c>
      <c r="C48" s="342">
        <v>0</v>
      </c>
      <c r="D48" s="342">
        <v>0</v>
      </c>
      <c r="E48" s="376"/>
    </row>
    <row r="49" spans="1:6">
      <c r="A49" s="909" t="s">
        <v>985</v>
      </c>
      <c r="B49" s="342">
        <v>14489821000</v>
      </c>
      <c r="C49" s="342">
        <v>400000000</v>
      </c>
      <c r="D49" s="342">
        <v>1050000000</v>
      </c>
      <c r="E49" s="376"/>
    </row>
    <row r="50" spans="1:6">
      <c r="A50" s="909" t="s">
        <v>986</v>
      </c>
      <c r="B50" s="342">
        <v>408000000</v>
      </c>
      <c r="C50" s="342">
        <v>0</v>
      </c>
      <c r="D50" s="342">
        <v>0</v>
      </c>
      <c r="E50" s="376"/>
    </row>
    <row r="51" spans="1:6">
      <c r="A51" s="909" t="s">
        <v>987</v>
      </c>
      <c r="B51" s="342">
        <v>33600000</v>
      </c>
      <c r="C51" s="342">
        <v>0</v>
      </c>
      <c r="D51" s="342">
        <v>0</v>
      </c>
      <c r="E51" s="376"/>
    </row>
    <row r="52" spans="1:6">
      <c r="A52" s="913" t="s">
        <v>988</v>
      </c>
      <c r="B52" s="914">
        <v>72017000</v>
      </c>
      <c r="C52" s="914">
        <v>2730950.45</v>
      </c>
      <c r="D52" s="914">
        <v>4282665.8999999994</v>
      </c>
      <c r="E52" s="376"/>
    </row>
    <row r="53" spans="1:6">
      <c r="A53" s="909" t="s">
        <v>989</v>
      </c>
      <c r="B53" s="342">
        <v>72017000</v>
      </c>
      <c r="C53" s="342">
        <v>2730950.45</v>
      </c>
      <c r="D53" s="342">
        <v>4282665.8999999994</v>
      </c>
      <c r="E53" s="376"/>
    </row>
    <row r="54" spans="1:6">
      <c r="A54" s="913" t="s">
        <v>990</v>
      </c>
      <c r="B54" s="914">
        <v>1834000</v>
      </c>
      <c r="C54" s="914">
        <v>0</v>
      </c>
      <c r="D54" s="914">
        <v>0</v>
      </c>
      <c r="E54" s="376"/>
    </row>
    <row r="55" spans="1:6">
      <c r="A55" s="909" t="s">
        <v>991</v>
      </c>
      <c r="B55" s="342">
        <v>1834000</v>
      </c>
      <c r="C55" s="342">
        <v>0</v>
      </c>
      <c r="D55" s="342">
        <v>0</v>
      </c>
      <c r="E55" s="376"/>
    </row>
    <row r="56" spans="1:6">
      <c r="A56" s="913" t="s">
        <v>992</v>
      </c>
      <c r="B56" s="914">
        <v>126008000</v>
      </c>
      <c r="C56" s="914">
        <v>2156833.29</v>
      </c>
      <c r="D56" s="914">
        <v>4966855.3400000008</v>
      </c>
      <c r="E56" s="376"/>
    </row>
    <row r="57" spans="1:6">
      <c r="A57" s="909" t="s">
        <v>993</v>
      </c>
      <c r="B57" s="342">
        <v>126008000</v>
      </c>
      <c r="C57" s="342">
        <v>2156833.29</v>
      </c>
      <c r="D57" s="342">
        <v>4966855.3400000008</v>
      </c>
      <c r="E57" s="376"/>
    </row>
    <row r="58" spans="1:6">
      <c r="A58" s="913" t="s">
        <v>994</v>
      </c>
      <c r="B58" s="914">
        <v>9050000</v>
      </c>
      <c r="C58" s="914">
        <v>342623.02</v>
      </c>
      <c r="D58" s="914">
        <v>988829.04</v>
      </c>
      <c r="E58" s="376"/>
    </row>
    <row r="59" spans="1:6">
      <c r="A59" s="909" t="s">
        <v>994</v>
      </c>
      <c r="B59" s="342">
        <v>9050000</v>
      </c>
      <c r="C59" s="342">
        <v>342623.02</v>
      </c>
      <c r="D59" s="342">
        <v>988829.04</v>
      </c>
      <c r="E59" s="376"/>
    </row>
    <row r="60" spans="1:6" ht="15" customHeight="1">
      <c r="A60" s="928" t="s">
        <v>995</v>
      </c>
      <c r="B60" s="930">
        <v>24782603059.029999</v>
      </c>
      <c r="C60" s="930">
        <v>748457576.56999993</v>
      </c>
      <c r="D60" s="930">
        <v>1559885407.6800003</v>
      </c>
      <c r="E60" s="376"/>
      <c r="F60" s="660" t="s">
        <v>103</v>
      </c>
    </row>
    <row r="61" spans="1:6" ht="15.6" customHeight="1">
      <c r="A61" s="910" t="s">
        <v>996</v>
      </c>
      <c r="B61" s="929"/>
      <c r="C61" s="903">
        <v>0</v>
      </c>
      <c r="D61" s="903">
        <v>3321324.27</v>
      </c>
      <c r="E61" s="376"/>
    </row>
    <row r="62" spans="1:6" ht="12.75" customHeight="1">
      <c r="A62" s="910" t="s">
        <v>997</v>
      </c>
      <c r="B62" s="929"/>
      <c r="C62" s="903">
        <v>0</v>
      </c>
      <c r="D62" s="903">
        <v>0</v>
      </c>
      <c r="E62" s="834"/>
    </row>
    <row r="63" spans="1:6">
      <c r="A63" s="910" t="s">
        <v>998</v>
      </c>
      <c r="B63" s="903"/>
      <c r="C63" s="903">
        <v>0</v>
      </c>
      <c r="D63" s="903">
        <v>0</v>
      </c>
      <c r="E63" s="376"/>
    </row>
    <row r="64" spans="1:6">
      <c r="A64" s="910" t="s">
        <v>999</v>
      </c>
      <c r="B64" s="903"/>
      <c r="C64" s="903">
        <v>-741.13</v>
      </c>
      <c r="D64" s="903">
        <v>-262.10000000000002</v>
      </c>
      <c r="E64" s="376"/>
    </row>
    <row r="65" spans="1:5" ht="13.5" thickBot="1">
      <c r="A65" s="904" t="s">
        <v>1000</v>
      </c>
      <c r="B65" s="1269">
        <v>24782603059.029999</v>
      </c>
      <c r="C65" s="1269">
        <v>748456835.43999994</v>
      </c>
      <c r="D65" s="1269">
        <v>1563206469.8500004</v>
      </c>
      <c r="E65" s="376"/>
    </row>
    <row r="66" spans="1:5" ht="13.5" thickTop="1">
      <c r="A66" s="566"/>
      <c r="B66" s="903"/>
      <c r="C66" s="903"/>
      <c r="D66" s="903"/>
      <c r="E66" s="376"/>
    </row>
    <row r="67" spans="1:5">
      <c r="A67" s="905" t="s">
        <v>1499</v>
      </c>
      <c r="B67" s="566"/>
      <c r="C67" s="566"/>
      <c r="D67" s="566"/>
      <c r="E67" s="376"/>
    </row>
    <row r="68" spans="1:5" ht="13.35" customHeight="1">
      <c r="A68" s="905" t="s">
        <v>1484</v>
      </c>
      <c r="B68" s="566"/>
      <c r="C68" s="566"/>
      <c r="D68" s="566"/>
    </row>
    <row r="69" spans="1:5" ht="12.75" customHeight="1">
      <c r="A69" s="906" t="s">
        <v>1001</v>
      </c>
      <c r="B69" s="566"/>
      <c r="C69" s="566"/>
      <c r="D69" s="566"/>
    </row>
    <row r="70" spans="1:5">
      <c r="A70" s="907" t="s">
        <v>1002</v>
      </c>
      <c r="B70" s="566"/>
      <c r="C70" s="566"/>
      <c r="D70" s="908"/>
    </row>
    <row r="71" spans="1:5">
      <c r="A71" s="907" t="s">
        <v>1003</v>
      </c>
      <c r="B71" s="566"/>
      <c r="C71" s="566"/>
      <c r="D71" s="903"/>
    </row>
    <row r="72" spans="1:5">
      <c r="C72" s="903"/>
      <c r="D72" s="903"/>
    </row>
    <row r="73" spans="1:5">
      <c r="C73" s="903"/>
      <c r="D73" s="903"/>
    </row>
    <row r="74" spans="1:5">
      <c r="C74" s="903"/>
      <c r="D74" s="903"/>
    </row>
    <row r="75" spans="1:5">
      <c r="C75" s="940"/>
      <c r="D75" s="940"/>
    </row>
    <row r="76" spans="1:5" ht="12.75" customHeight="1">
      <c r="C76" s="903"/>
      <c r="D76" s="903"/>
    </row>
    <row r="77" spans="1:5" ht="12.75" customHeight="1">
      <c r="C77" s="903" t="s">
        <v>103</v>
      </c>
    </row>
    <row r="78" spans="1:5" ht="12.75" customHeight="1"/>
  </sheetData>
  <customSheetViews>
    <customSheetView guid="{83D69B98-1714-4D17-901F-87B47BE66947}" showGridLines="0" printArea="1">
      <selection activeCell="D62" sqref="D62"/>
      <pageMargins left="0.5" right="0.25" top="0.5" bottom="0.25" header="0.5" footer="0.25"/>
      <printOptions horizontalCentered="1"/>
      <pageSetup scale="55" firstPageNumber="48" fitToHeight="2" orientation="landscape" useFirstPageNumber="1" r:id="rId1"/>
      <headerFooter scaleWithDoc="0" alignWithMargins="0">
        <oddFooter>&amp;C&amp;8&amp;P</oddFooter>
      </headerFooter>
    </customSheetView>
    <customSheetView guid="{F9AE1502-86F7-4AAA-AE66-F6A75A634C1B}" showGridLines="0" printArea="1">
      <selection activeCell="D8" sqref="D8"/>
      <pageMargins left="0.5" right="0.25" top="0.5" bottom="0.25" header="0.5" footer="0.25"/>
      <printOptions horizontalCentered="1"/>
      <pageSetup scale="55" firstPageNumber="48" fitToHeight="2" orientation="landscape" useFirstPageNumber="1" r:id="rId2"/>
      <headerFooter scaleWithDoc="0" alignWithMargins="0">
        <oddFooter>&amp;C&amp;8&amp;P</oddFooter>
      </headerFooter>
    </customSheetView>
    <customSheetView guid="{C41E3923-0A88-49D0-AE43-0E74D386A056}" showGridLines="0" printArea="1" topLeftCell="A41">
      <selection activeCell="D8" sqref="D8"/>
      <pageMargins left="0.5" right="0.25" top="0.5" bottom="0.25" header="0.5" footer="0.25"/>
      <printOptions horizontalCentered="1"/>
      <pageSetup scale="55" firstPageNumber="48" fitToHeight="2" orientation="landscape" useFirstPageNumber="1" r:id="rId3"/>
      <headerFooter scaleWithDoc="0" alignWithMargins="0">
        <oddFooter>&amp;C&amp;8&amp;P</oddFooter>
      </headerFooter>
    </customSheetView>
    <customSheetView guid="{1DF171D7-3BFC-49F6-B708-0F91FCFAB6E2}" showGridLines="0" printArea="1">
      <selection activeCell="D8" sqref="D8"/>
      <pageMargins left="0.5" right="0.25" top="0.5" bottom="0.25" header="0.5" footer="0.25"/>
      <printOptions horizontalCentered="1"/>
      <pageSetup scale="55" firstPageNumber="48" fitToHeight="2" orientation="landscape" useFirstPageNumber="1" r:id="rId4"/>
      <headerFooter scaleWithDoc="0" alignWithMargins="0">
        <oddFooter>&amp;C&amp;8&amp;P</oddFooter>
      </headerFooter>
    </customSheetView>
    <customSheetView guid="{9F00D83C-7F4F-41B5-9976-8610D9EBC976}" showGridLines="0" printArea="1">
      <selection activeCell="D8" sqref="D8"/>
      <pageMargins left="0.5" right="0.25" top="0.5" bottom="0.25" header="0.5" footer="0.25"/>
      <printOptions horizontalCentered="1"/>
      <pageSetup scale="55" firstPageNumber="48" fitToHeight="2" orientation="landscape" useFirstPageNumber="1" r:id="rId5"/>
      <headerFooter scaleWithDoc="0" alignWithMargins="0">
        <oddFooter>&amp;C&amp;8&amp;P</oddFooter>
      </headerFooter>
    </customSheetView>
    <customSheetView guid="{D1467C25-646C-4F1A-9353-0E890E575522}" showGridLines="0" printArea="1">
      <selection activeCell="D8" sqref="D8"/>
      <pageMargins left="0.5" right="0.25" top="0.5" bottom="0.25" header="0.5" footer="0.25"/>
      <printOptions horizontalCentered="1"/>
      <pageSetup scale="55" firstPageNumber="48" fitToHeight="2" orientation="landscape" useFirstPageNumber="1" r:id="rId6"/>
      <headerFooter scaleWithDoc="0" alignWithMargins="0">
        <oddFooter>&amp;C&amp;8&amp;P</oddFooter>
      </headerFooter>
    </customSheetView>
    <customSheetView guid="{3A50DD26-AAF5-43D4-97DE-BAE3367A2F29}" showGridLines="0" printArea="1" topLeftCell="A44">
      <selection activeCell="D8" sqref="D8"/>
      <pageMargins left="0.5" right="0.25" top="0.5" bottom="0.25" header="0.5" footer="0.25"/>
      <printOptions horizontalCentered="1"/>
      <pageSetup scale="55" firstPageNumber="48" fitToHeight="2" orientation="landscape" useFirstPageNumber="1" r:id="rId7"/>
      <headerFooter scaleWithDoc="0" alignWithMargins="0">
        <oddFooter>&amp;C&amp;8&amp;P</oddFooter>
      </headerFooter>
    </customSheetView>
    <customSheetView guid="{C3636880-B45B-4897-94F2-F91976416934}" showGridLines="0" printArea="1">
      <selection activeCell="D8" sqref="D8"/>
      <pageMargins left="0.5" right="0.25" top="0.5" bottom="0.25" header="0.5" footer="0.25"/>
      <printOptions horizontalCentered="1"/>
      <pageSetup scale="55" firstPageNumber="48" fitToHeight="2" orientation="landscape" useFirstPageNumber="1" r:id="rId8"/>
      <headerFooter scaleWithDoc="0" alignWithMargins="0">
        <oddFooter>&amp;C&amp;8&amp;P</oddFooter>
      </headerFooter>
    </customSheetView>
  </customSheetViews>
  <printOptions horizontalCentered="1"/>
  <pageMargins left="0.5" right="0.25" top="0.5" bottom="0.25" header="0.5" footer="0.25"/>
  <pageSetup scale="55" firstPageNumber="48" fitToHeight="2" orientation="landscape" useFirstPageNumber="1" r:id="rId9"/>
  <headerFooter scaleWithDoc="0" alignWithMargins="0">
    <oddFooter>&amp;C&amp;8&amp;P</oddFooter>
  </headerFooter>
  <customProperties>
    <customPr name="SheetOptions" r:id="rId10"/>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4"/>
  <sheetViews>
    <sheetView showGridLines="0" zoomScale="90" workbookViewId="0"/>
  </sheetViews>
  <sheetFormatPr defaultColWidth="8.88671875" defaultRowHeight="15" customHeight="1"/>
  <cols>
    <col min="1" max="1" width="55.109375" style="440" customWidth="1"/>
    <col min="2" max="2" width="4.88671875" style="440" customWidth="1"/>
    <col min="3" max="3" width="1.88671875" style="441" customWidth="1"/>
    <col min="4" max="4" width="20.88671875" style="441" customWidth="1"/>
    <col min="5" max="5" width="1.88671875" style="441" customWidth="1"/>
    <col min="6" max="6" width="20.88671875" style="441" customWidth="1"/>
    <col min="7" max="7" width="1.77734375" style="441" customWidth="1"/>
    <col min="8" max="8" width="20.88671875" style="441" customWidth="1"/>
    <col min="9" max="10" width="1.88671875" style="441" customWidth="1"/>
    <col min="11" max="11" width="20.88671875" style="441" customWidth="1"/>
    <col min="12" max="12" width="8.88671875" style="441"/>
    <col min="13" max="13" width="20.88671875" style="440" customWidth="1"/>
    <col min="14" max="16384" width="8.88671875" style="440"/>
  </cols>
  <sheetData>
    <row r="1" spans="1:13" ht="15" customHeight="1">
      <c r="A1" s="265" t="s">
        <v>97</v>
      </c>
    </row>
    <row r="2" spans="1:13" ht="15" customHeight="1">
      <c r="A2" s="463"/>
    </row>
    <row r="3" spans="1:13" ht="15" customHeight="1">
      <c r="K3" s="505" t="s">
        <v>1004</v>
      </c>
    </row>
    <row r="4" spans="1:13" ht="19.5" customHeight="1">
      <c r="A4" s="506" t="s">
        <v>940</v>
      </c>
      <c r="B4" s="455"/>
      <c r="C4" s="455"/>
      <c r="D4" s="455"/>
      <c r="E4" s="455"/>
      <c r="F4" s="455"/>
      <c r="G4" s="455"/>
      <c r="H4" s="455"/>
      <c r="I4" s="455"/>
      <c r="J4" s="507"/>
      <c r="K4" s="507"/>
    </row>
    <row r="5" spans="1:13" ht="19.5" customHeight="1">
      <c r="A5" s="506" t="s">
        <v>1005</v>
      </c>
      <c r="B5" s="506"/>
      <c r="C5" s="506"/>
      <c r="D5" s="506"/>
      <c r="E5" s="506"/>
      <c r="F5" s="506"/>
      <c r="G5" s="506"/>
      <c r="H5" s="506"/>
      <c r="I5" s="506"/>
      <c r="J5" s="506"/>
      <c r="K5" s="506"/>
    </row>
    <row r="6" spans="1:13" ht="19.5" customHeight="1">
      <c r="A6" s="506" t="str">
        <f>'HCRA PROG DISB'!A6</f>
        <v>FISCAL YEAR 2026-2027</v>
      </c>
      <c r="B6" s="663"/>
      <c r="C6" s="663"/>
      <c r="D6" s="663"/>
      <c r="E6" s="663"/>
      <c r="F6" s="663"/>
      <c r="G6" s="663"/>
      <c r="H6" s="663"/>
      <c r="I6" s="663"/>
      <c r="J6" s="506"/>
      <c r="K6" s="506"/>
    </row>
    <row r="7" spans="1:13" ht="15" customHeight="1">
      <c r="A7" s="664"/>
      <c r="B7" s="664"/>
      <c r="C7" s="664"/>
      <c r="D7" s="664"/>
      <c r="E7" s="664"/>
      <c r="F7" s="664"/>
      <c r="G7" s="664"/>
      <c r="H7" s="664"/>
      <c r="I7" s="664"/>
      <c r="J7" s="508"/>
      <c r="K7" s="508"/>
    </row>
    <row r="8" spans="1:13" ht="15" customHeight="1">
      <c r="A8" s="464"/>
      <c r="B8" s="465"/>
      <c r="C8" s="466"/>
      <c r="D8" s="446"/>
      <c r="E8" s="446"/>
      <c r="F8" s="446"/>
      <c r="G8" s="446"/>
      <c r="H8" s="446"/>
      <c r="I8" s="446"/>
      <c r="J8" s="509"/>
      <c r="K8" s="450"/>
    </row>
    <row r="9" spans="1:13" s="449" customFormat="1" ht="15" customHeight="1">
      <c r="A9" s="447"/>
      <c r="B9" s="447"/>
      <c r="C9" s="581"/>
      <c r="D9" s="581">
        <v>2026</v>
      </c>
      <c r="E9" s="581"/>
      <c r="F9" s="581">
        <v>2026</v>
      </c>
      <c r="G9" s="581"/>
      <c r="H9" s="581">
        <v>2026</v>
      </c>
      <c r="I9" s="581"/>
      <c r="J9" s="448"/>
      <c r="K9" s="448"/>
      <c r="L9" s="448"/>
    </row>
    <row r="10" spans="1:13" ht="15" customHeight="1">
      <c r="C10" s="450"/>
      <c r="D10" s="1248" t="s">
        <v>329</v>
      </c>
      <c r="E10" s="450"/>
      <c r="F10" s="1248" t="s">
        <v>330</v>
      </c>
      <c r="G10" s="450"/>
      <c r="H10" s="1248" t="s">
        <v>331</v>
      </c>
      <c r="I10" s="450"/>
      <c r="K10" s="450" t="str">
        <f>RIGHT(A6,9)</f>
        <v>2026-2027</v>
      </c>
    </row>
    <row r="11" spans="1:13" ht="15" customHeight="1">
      <c r="K11" s="622"/>
    </row>
    <row r="12" spans="1:13" s="449" customFormat="1" ht="15" customHeight="1">
      <c r="A12" s="449" t="s">
        <v>914</v>
      </c>
      <c r="C12" s="451"/>
      <c r="D12" s="451">
        <v>504108620.02999997</v>
      </c>
      <c r="E12" s="451"/>
      <c r="F12" s="451">
        <f>D51</f>
        <v>609172158.00999999</v>
      </c>
      <c r="G12" s="451"/>
      <c r="H12" s="451">
        <f>F51</f>
        <v>374289223.79000002</v>
      </c>
      <c r="I12" s="451"/>
      <c r="J12" s="467"/>
      <c r="K12" s="451">
        <f>D12</f>
        <v>504108620.02999997</v>
      </c>
      <c r="L12" s="448"/>
    </row>
    <row r="13" spans="1:13" ht="15" customHeight="1">
      <c r="A13" s="449"/>
      <c r="J13" s="468"/>
      <c r="K13" s="454"/>
    </row>
    <row r="14" spans="1:13" ht="15" customHeight="1">
      <c r="A14" s="449" t="s">
        <v>114</v>
      </c>
      <c r="C14" s="454"/>
      <c r="D14" s="454"/>
      <c r="E14" s="454"/>
      <c r="F14" s="454"/>
      <c r="G14" s="454"/>
      <c r="H14" s="454"/>
      <c r="I14" s="454"/>
      <c r="J14" s="469"/>
      <c r="K14" s="454"/>
    </row>
    <row r="15" spans="1:13" ht="15" customHeight="1">
      <c r="A15" s="440" t="s">
        <v>1006</v>
      </c>
      <c r="C15" s="454"/>
      <c r="D15" s="454">
        <v>505874661.23000002</v>
      </c>
      <c r="E15" s="454"/>
      <c r="F15" s="454">
        <v>331913951.94999999</v>
      </c>
      <c r="G15" s="454"/>
      <c r="H15" s="454">
        <v>753469099.54999995</v>
      </c>
      <c r="I15" s="454"/>
      <c r="J15" s="469"/>
      <c r="K15" s="454">
        <f t="shared" ref="K15:K22" si="0">SUM(D15:J15)</f>
        <v>1591257712.73</v>
      </c>
      <c r="M15" s="454"/>
    </row>
    <row r="16" spans="1:13" ht="15" customHeight="1">
      <c r="A16" s="440" t="s">
        <v>1007</v>
      </c>
      <c r="C16" s="454"/>
      <c r="D16" s="454">
        <v>92790517.180000007</v>
      </c>
      <c r="E16" s="454"/>
      <c r="F16" s="454">
        <v>61075641.890000001</v>
      </c>
      <c r="G16" s="454"/>
      <c r="H16" s="454">
        <v>123980711.88</v>
      </c>
      <c r="I16" s="454"/>
      <c r="J16" s="469"/>
      <c r="K16" s="454">
        <f t="shared" si="0"/>
        <v>277846870.94999999</v>
      </c>
      <c r="M16" s="454"/>
    </row>
    <row r="17" spans="1:13" ht="15" customHeight="1">
      <c r="A17" s="440" t="s">
        <v>1008</v>
      </c>
      <c r="C17" s="454"/>
      <c r="D17" s="454">
        <v>9910594.9800000004</v>
      </c>
      <c r="E17" s="454"/>
      <c r="F17" s="454">
        <v>20126540.370000001</v>
      </c>
      <c r="G17" s="454"/>
      <c r="H17" s="454">
        <v>14017757.9</v>
      </c>
      <c r="I17" s="454"/>
      <c r="J17" s="469"/>
      <c r="K17" s="454">
        <f t="shared" si="0"/>
        <v>44054893.25</v>
      </c>
      <c r="M17" s="454"/>
    </row>
    <row r="18" spans="1:13" ht="15" customHeight="1">
      <c r="A18" s="440" t="s">
        <v>1009</v>
      </c>
      <c r="C18" s="454"/>
      <c r="D18" s="454">
        <v>43795335</v>
      </c>
      <c r="E18" s="454"/>
      <c r="F18" s="454">
        <v>45953289</v>
      </c>
      <c r="G18" s="454"/>
      <c r="H18" s="454">
        <v>52079956</v>
      </c>
      <c r="I18" s="454"/>
      <c r="J18" s="469"/>
      <c r="K18" s="454">
        <f t="shared" si="0"/>
        <v>141828580</v>
      </c>
      <c r="M18" s="454"/>
    </row>
    <row r="19" spans="1:13">
      <c r="A19" s="440" t="s">
        <v>1010</v>
      </c>
      <c r="C19" s="332"/>
      <c r="D19" s="332">
        <v>0</v>
      </c>
      <c r="E19" s="332"/>
      <c r="F19" s="332">
        <v>0</v>
      </c>
      <c r="G19" s="332"/>
      <c r="H19" s="332">
        <v>0</v>
      </c>
      <c r="I19" s="332"/>
      <c r="J19" s="469"/>
      <c r="K19" s="454">
        <f t="shared" si="0"/>
        <v>0</v>
      </c>
      <c r="M19" s="454"/>
    </row>
    <row r="20" spans="1:13" ht="15" customHeight="1">
      <c r="A20" s="440" t="s">
        <v>1011</v>
      </c>
      <c r="C20" s="454"/>
      <c r="D20" s="454">
        <v>380783.06</v>
      </c>
      <c r="E20" s="454"/>
      <c r="F20" s="454">
        <v>462277.22</v>
      </c>
      <c r="G20" s="454"/>
      <c r="H20" s="454">
        <v>611031.25</v>
      </c>
      <c r="I20" s="454"/>
      <c r="J20" s="469"/>
      <c r="K20" s="454">
        <f t="shared" si="0"/>
        <v>1454091.53</v>
      </c>
      <c r="M20" s="454"/>
    </row>
    <row r="21" spans="1:13" ht="15" customHeight="1">
      <c r="A21" s="440" t="s">
        <v>1485</v>
      </c>
      <c r="C21" s="454"/>
      <c r="D21" s="454">
        <v>0</v>
      </c>
      <c r="E21" s="454"/>
      <c r="F21" s="454">
        <v>0</v>
      </c>
      <c r="G21" s="454"/>
      <c r="H21" s="454">
        <v>-516.38</v>
      </c>
      <c r="I21" s="1332"/>
      <c r="J21" s="454"/>
      <c r="K21" s="454">
        <f t="shared" si="0"/>
        <v>-516.38</v>
      </c>
      <c r="M21" s="454"/>
    </row>
    <row r="22" spans="1:13" ht="15" customHeight="1">
      <c r="A22" s="440" t="s">
        <v>1012</v>
      </c>
      <c r="C22" s="458"/>
      <c r="D22" s="1249">
        <v>10655257.810000001</v>
      </c>
      <c r="E22" s="458"/>
      <c r="F22" s="1249">
        <v>-11124313.699999999</v>
      </c>
      <c r="G22" s="458"/>
      <c r="H22" s="1249">
        <v>-614721.9</v>
      </c>
      <c r="I22" s="458"/>
      <c r="J22" s="470"/>
      <c r="K22" s="454">
        <f t="shared" si="0"/>
        <v>-1083777.7899999986</v>
      </c>
      <c r="M22" s="454"/>
    </row>
    <row r="23" spans="1:13" s="449" customFormat="1" ht="15.75">
      <c r="A23" s="449" t="s">
        <v>427</v>
      </c>
      <c r="C23" s="472"/>
      <c r="D23" s="1250">
        <f>ROUND(SUM(D15:D22),2)</f>
        <v>663407149.25999999</v>
      </c>
      <c r="E23" s="472"/>
      <c r="F23" s="1250">
        <f>ROUND(SUM(F15:F22),2)</f>
        <v>448407386.73000002</v>
      </c>
      <c r="G23" s="472"/>
      <c r="H23" s="1250">
        <f>ROUND(SUM(H15:H22),2)</f>
        <v>943543318.29999995</v>
      </c>
      <c r="I23" s="472"/>
      <c r="J23" s="471"/>
      <c r="K23" s="626">
        <f>ROUND(SUM(K15:K22),2)</f>
        <v>2055357854.29</v>
      </c>
      <c r="L23" s="441"/>
      <c r="M23" s="454"/>
    </row>
    <row r="24" spans="1:13" ht="15" customHeight="1">
      <c r="C24" s="454"/>
      <c r="D24" s="454"/>
      <c r="E24" s="454"/>
      <c r="F24" s="454"/>
      <c r="G24" s="454"/>
      <c r="H24" s="454"/>
      <c r="I24" s="454"/>
      <c r="J24" s="469"/>
      <c r="K24" s="454"/>
      <c r="M24" s="454"/>
    </row>
    <row r="25" spans="1:13" ht="15" customHeight="1">
      <c r="A25" s="449" t="s">
        <v>1013</v>
      </c>
      <c r="C25" s="473"/>
      <c r="D25" s="473"/>
      <c r="E25" s="473"/>
      <c r="F25" s="473"/>
      <c r="G25" s="473"/>
      <c r="H25" s="473"/>
      <c r="I25" s="473"/>
      <c r="J25" s="469"/>
      <c r="K25" s="454"/>
      <c r="M25" s="454"/>
    </row>
    <row r="26" spans="1:13" ht="15" customHeight="1">
      <c r="A26" s="445" t="s">
        <v>1014</v>
      </c>
      <c r="C26" s="454"/>
      <c r="D26" s="454">
        <v>0</v>
      </c>
      <c r="E26" s="454"/>
      <c r="F26" s="454">
        <v>0</v>
      </c>
      <c r="G26" s="454"/>
      <c r="H26" s="454">
        <v>0</v>
      </c>
      <c r="I26" s="454"/>
      <c r="J26" s="469"/>
      <c r="K26" s="454">
        <f>SUM(D26:J26)</f>
        <v>0</v>
      </c>
      <c r="M26" s="454"/>
    </row>
    <row r="27" spans="1:13" ht="15" customHeight="1">
      <c r="A27" s="445" t="s">
        <v>1015</v>
      </c>
      <c r="C27" s="454"/>
      <c r="D27" s="454">
        <v>0</v>
      </c>
      <c r="E27" s="454"/>
      <c r="F27" s="454">
        <v>0</v>
      </c>
      <c r="G27" s="454"/>
      <c r="H27" s="454">
        <v>0</v>
      </c>
      <c r="I27" s="454"/>
      <c r="J27" s="469"/>
      <c r="K27" s="454">
        <f>SUM(D27:J27)</f>
        <v>0</v>
      </c>
      <c r="M27" s="454"/>
    </row>
    <row r="28" spans="1:13" ht="15" customHeight="1">
      <c r="A28" s="445" t="s">
        <v>1016</v>
      </c>
      <c r="C28" s="454"/>
      <c r="D28" s="454">
        <v>0</v>
      </c>
      <c r="E28" s="454"/>
      <c r="F28" s="454">
        <v>0</v>
      </c>
      <c r="G28" s="454"/>
      <c r="H28" s="454">
        <v>0</v>
      </c>
      <c r="I28" s="454"/>
      <c r="J28" s="470"/>
      <c r="K28" s="454">
        <f>SUM(D28:J28)</f>
        <v>0</v>
      </c>
      <c r="M28" s="454"/>
    </row>
    <row r="29" spans="1:13" ht="15.75">
      <c r="A29" s="455" t="s">
        <v>1017</v>
      </c>
      <c r="B29" s="449"/>
      <c r="C29" s="472"/>
      <c r="D29" s="626">
        <f>ROUND(SUM(D26:D28),2)</f>
        <v>0</v>
      </c>
      <c r="E29" s="472"/>
      <c r="F29" s="626">
        <f>ROUND(SUM(F26:F28),2)</f>
        <v>0</v>
      </c>
      <c r="G29" s="472"/>
      <c r="H29" s="626">
        <f>ROUND(SUM(H26:H28),2)</f>
        <v>0</v>
      </c>
      <c r="I29" s="472"/>
      <c r="J29" s="471"/>
      <c r="K29" s="626">
        <f>ROUND(SUM(K26:K28),2)</f>
        <v>0</v>
      </c>
      <c r="M29" s="454"/>
    </row>
    <row r="30" spans="1:13" ht="15" customHeight="1">
      <c r="C30" s="454"/>
      <c r="D30" s="454"/>
      <c r="E30" s="454"/>
      <c r="F30" s="454"/>
      <c r="G30" s="454"/>
      <c r="H30" s="454"/>
      <c r="I30" s="454"/>
      <c r="J30" s="469"/>
      <c r="K30" s="454"/>
      <c r="M30" s="454"/>
    </row>
    <row r="31" spans="1:13" ht="15" customHeight="1">
      <c r="A31" s="449" t="s">
        <v>1018</v>
      </c>
      <c r="B31" s="449"/>
      <c r="C31" s="472"/>
      <c r="D31" s="1250">
        <f>ROUND(+D23+D29,2)</f>
        <v>663407149.25999999</v>
      </c>
      <c r="E31" s="472"/>
      <c r="F31" s="1250">
        <f>ROUND(+F23+F29,2)</f>
        <v>448407386.73000002</v>
      </c>
      <c r="G31" s="472"/>
      <c r="H31" s="1250">
        <f>ROUND(+H23+H29,2)</f>
        <v>943543318.29999995</v>
      </c>
      <c r="I31" s="472"/>
      <c r="J31" s="474"/>
      <c r="K31" s="472">
        <f>ROUND(+K23+K29,2)</f>
        <v>2055357854.29</v>
      </c>
      <c r="M31" s="454"/>
    </row>
    <row r="32" spans="1:13" ht="15" customHeight="1">
      <c r="C32" s="454"/>
      <c r="D32" s="454"/>
      <c r="E32" s="454"/>
      <c r="F32" s="454"/>
      <c r="G32" s="454"/>
      <c r="H32" s="454"/>
      <c r="I32" s="454"/>
      <c r="J32" s="469"/>
      <c r="K32" s="624"/>
      <c r="M32" s="454"/>
    </row>
    <row r="33" spans="1:13" ht="15" customHeight="1">
      <c r="A33" s="449" t="s">
        <v>145</v>
      </c>
      <c r="C33" s="454"/>
      <c r="D33" s="454"/>
      <c r="E33" s="454"/>
      <c r="F33" s="454"/>
      <c r="G33" s="454"/>
      <c r="H33" s="454"/>
      <c r="I33" s="454"/>
      <c r="J33" s="469"/>
      <c r="K33" s="454"/>
      <c r="M33" s="454"/>
    </row>
    <row r="34" spans="1:13" ht="15" customHeight="1">
      <c r="A34" s="449" t="s">
        <v>1019</v>
      </c>
      <c r="C34" s="454"/>
      <c r="D34" s="454"/>
      <c r="E34" s="454"/>
      <c r="F34" s="454"/>
      <c r="G34" s="454"/>
      <c r="H34" s="454"/>
      <c r="I34" s="454"/>
      <c r="J34" s="469"/>
      <c r="K34" s="454"/>
      <c r="M34" s="454"/>
    </row>
    <row r="35" spans="1:13" ht="15" customHeight="1">
      <c r="A35" s="440" t="s">
        <v>1020</v>
      </c>
      <c r="C35" s="454"/>
      <c r="D35" s="454">
        <v>0</v>
      </c>
      <c r="E35" s="454"/>
      <c r="F35" s="454">
        <v>0</v>
      </c>
      <c r="G35" s="454"/>
      <c r="H35" s="454">
        <v>0</v>
      </c>
      <c r="I35" s="454"/>
      <c r="J35" s="469"/>
      <c r="K35" s="454">
        <f>SUM(D35:J35)</f>
        <v>0</v>
      </c>
      <c r="M35" s="454"/>
    </row>
    <row r="36" spans="1:13" ht="15" customHeight="1">
      <c r="A36" s="445" t="s">
        <v>1021</v>
      </c>
      <c r="C36" s="454"/>
      <c r="D36" s="454">
        <v>5328912</v>
      </c>
      <c r="E36" s="454"/>
      <c r="F36" s="454">
        <v>6120532.29</v>
      </c>
      <c r="G36" s="454"/>
      <c r="H36" s="454">
        <v>5618197.71</v>
      </c>
      <c r="I36" s="454"/>
      <c r="J36" s="469"/>
      <c r="K36" s="454">
        <f>SUM(D36:J36)</f>
        <v>17067642</v>
      </c>
      <c r="M36" s="454"/>
    </row>
    <row r="37" spans="1:13" ht="15" customHeight="1">
      <c r="A37" s="449" t="s">
        <v>1022</v>
      </c>
      <c r="C37" s="454"/>
      <c r="D37" s="454"/>
      <c r="E37" s="454"/>
      <c r="F37" s="454"/>
      <c r="G37" s="454"/>
      <c r="H37" s="454"/>
      <c r="I37" s="1332"/>
      <c r="J37" s="454"/>
      <c r="K37" s="454" t="s">
        <v>103</v>
      </c>
      <c r="M37" s="454"/>
    </row>
    <row r="38" spans="1:13" ht="15" customHeight="1">
      <c r="A38" s="445" t="s">
        <v>1023</v>
      </c>
      <c r="C38" s="454"/>
      <c r="D38" s="454">
        <v>0</v>
      </c>
      <c r="E38" s="454"/>
      <c r="F38" s="454">
        <v>0</v>
      </c>
      <c r="G38" s="454"/>
      <c r="H38" s="454">
        <v>0</v>
      </c>
      <c r="I38" s="1332"/>
      <c r="J38" s="454"/>
      <c r="K38" s="454">
        <f>SUM(D38:J38)</f>
        <v>0</v>
      </c>
      <c r="M38" s="454"/>
    </row>
    <row r="39" spans="1:13" s="449" customFormat="1" ht="15.75">
      <c r="A39" s="449" t="s">
        <v>1024</v>
      </c>
      <c r="C39" s="472"/>
      <c r="D39" s="626">
        <f>ROUND(SUM(D35:D38),2)</f>
        <v>5328912</v>
      </c>
      <c r="E39" s="472"/>
      <c r="F39" s="626">
        <f>ROUND(SUM(F35:F38),2)</f>
        <v>6120532.29</v>
      </c>
      <c r="G39" s="472"/>
      <c r="H39" s="626">
        <f>ROUND(SUM(H35:H38),2)</f>
        <v>5618197.71</v>
      </c>
      <c r="I39" s="472"/>
      <c r="J39" s="471"/>
      <c r="K39" s="626">
        <f>ROUND(SUM(K35:K38),2)</f>
        <v>17067642</v>
      </c>
      <c r="L39" s="448"/>
      <c r="M39" s="454"/>
    </row>
    <row r="40" spans="1:13" ht="15" customHeight="1">
      <c r="C40" s="454"/>
      <c r="D40" s="454"/>
      <c r="E40" s="454"/>
      <c r="F40" s="454"/>
      <c r="G40" s="454"/>
      <c r="H40" s="454"/>
      <c r="I40" s="454"/>
      <c r="J40" s="469"/>
      <c r="K40" s="454"/>
      <c r="M40" s="454"/>
    </row>
    <row r="41" spans="1:13" ht="15" customHeight="1">
      <c r="A41" s="449" t="s">
        <v>1025</v>
      </c>
      <c r="C41" s="454"/>
      <c r="D41" s="454"/>
      <c r="E41" s="454"/>
      <c r="F41" s="454"/>
      <c r="G41" s="454"/>
      <c r="H41" s="454"/>
      <c r="I41" s="454"/>
      <c r="J41" s="469"/>
      <c r="K41" s="454"/>
      <c r="M41" s="454"/>
    </row>
    <row r="42" spans="1:13" ht="15" customHeight="1">
      <c r="A42" s="440" t="s">
        <v>1020</v>
      </c>
      <c r="C42" s="454"/>
      <c r="D42" s="454">
        <v>0</v>
      </c>
      <c r="E42" s="454"/>
      <c r="F42" s="454">
        <v>0</v>
      </c>
      <c r="G42" s="454"/>
      <c r="H42" s="454">
        <v>0</v>
      </c>
      <c r="I42" s="454"/>
      <c r="J42" s="469"/>
      <c r="K42" s="454">
        <f>SUM(D42:J42)</f>
        <v>0</v>
      </c>
      <c r="M42" s="454"/>
    </row>
    <row r="43" spans="1:13" ht="15" customHeight="1">
      <c r="A43" s="440" t="s">
        <v>1026</v>
      </c>
      <c r="C43" s="454"/>
      <c r="D43" s="454">
        <v>0</v>
      </c>
      <c r="E43" s="454"/>
      <c r="F43" s="454">
        <v>0</v>
      </c>
      <c r="G43" s="454"/>
      <c r="H43" s="454">
        <v>0</v>
      </c>
      <c r="I43" s="454"/>
      <c r="J43" s="469"/>
      <c r="K43" s="454">
        <f>SUM(D43:J43)</f>
        <v>0</v>
      </c>
      <c r="M43" s="454"/>
    </row>
    <row r="44" spans="1:13" ht="15" customHeight="1">
      <c r="A44" s="449" t="s">
        <v>1027</v>
      </c>
      <c r="C44" s="454"/>
      <c r="D44" s="454"/>
      <c r="E44" s="454"/>
      <c r="F44" s="454"/>
      <c r="G44" s="454"/>
      <c r="H44" s="454"/>
      <c r="I44" s="454"/>
      <c r="J44" s="469"/>
      <c r="K44" s="454"/>
      <c r="M44" s="454"/>
    </row>
    <row r="45" spans="1:13" ht="15" customHeight="1">
      <c r="A45" s="445" t="s">
        <v>1023</v>
      </c>
      <c r="C45" s="454"/>
      <c r="D45" s="454">
        <v>-563672523.27999997</v>
      </c>
      <c r="E45" s="454"/>
      <c r="F45" s="454">
        <v>-689410853.24000001</v>
      </c>
      <c r="G45" s="454"/>
      <c r="H45" s="454">
        <v>-801529660.45000005</v>
      </c>
      <c r="I45" s="454"/>
      <c r="J45" s="469"/>
      <c r="K45" s="454">
        <f>SUM(D45:J45)</f>
        <v>-2054613036.97</v>
      </c>
      <c r="M45" s="454"/>
    </row>
    <row r="46" spans="1:13" ht="15.75">
      <c r="A46" s="449" t="s">
        <v>1028</v>
      </c>
      <c r="B46" s="449"/>
      <c r="C46" s="472"/>
      <c r="D46" s="626">
        <f>ROUND(SUM(D42:D45),2)</f>
        <v>-563672523.27999997</v>
      </c>
      <c r="E46" s="472"/>
      <c r="F46" s="626">
        <f>ROUND(SUM(F42:F45),2)</f>
        <v>-689410853.24000001</v>
      </c>
      <c r="G46" s="472"/>
      <c r="H46" s="626">
        <f>ROUND(SUM(H42:H45),2)</f>
        <v>-801529660.45000005</v>
      </c>
      <c r="I46" s="472"/>
      <c r="J46" s="471"/>
      <c r="K46" s="626">
        <f>ROUND(SUM(K42:K45),2)</f>
        <v>-2054613036.97</v>
      </c>
      <c r="M46" s="454"/>
    </row>
    <row r="47" spans="1:13" ht="15" customHeight="1">
      <c r="C47" s="454"/>
      <c r="D47" s="454"/>
      <c r="E47" s="454"/>
      <c r="F47" s="454"/>
      <c r="G47" s="454"/>
      <c r="H47" s="454"/>
      <c r="I47" s="454"/>
      <c r="J47" s="469"/>
      <c r="K47" s="454"/>
      <c r="M47" s="454"/>
    </row>
    <row r="48" spans="1:13" ht="15" customHeight="1">
      <c r="A48" s="449" t="s">
        <v>1029</v>
      </c>
      <c r="C48" s="454"/>
      <c r="D48" s="454"/>
      <c r="E48" s="454"/>
      <c r="F48" s="454"/>
      <c r="G48" s="454"/>
      <c r="H48" s="454"/>
      <c r="I48" s="454"/>
      <c r="J48" s="469"/>
      <c r="K48" s="454"/>
      <c r="M48" s="454"/>
    </row>
    <row r="49" spans="1:13" ht="15" customHeight="1">
      <c r="A49" s="449" t="s">
        <v>1030</v>
      </c>
      <c r="C49" s="472"/>
      <c r="D49" s="1250">
        <f>ROUND(+D31+D39+D46,2)</f>
        <v>105063537.98</v>
      </c>
      <c r="E49" s="472"/>
      <c r="F49" s="1250">
        <f>ROUND(+F31+F39+F46,2)</f>
        <v>-234882934.22</v>
      </c>
      <c r="G49" s="472"/>
      <c r="H49" s="1250">
        <f>ROUND(+H31+H39+H46,2)</f>
        <v>147631855.56</v>
      </c>
      <c r="I49" s="472"/>
      <c r="J49" s="474"/>
      <c r="K49" s="696">
        <f>ROUND(+K31+K39+K46,2)</f>
        <v>17812459.32</v>
      </c>
      <c r="M49" s="454"/>
    </row>
    <row r="50" spans="1:13" ht="15" customHeight="1">
      <c r="J50" s="475"/>
      <c r="K50" s="454"/>
      <c r="M50" s="454"/>
    </row>
    <row r="51" spans="1:13" s="449" customFormat="1" ht="21" customHeight="1" thickBot="1">
      <c r="A51" s="449" t="s">
        <v>1031</v>
      </c>
      <c r="C51" s="451"/>
      <c r="D51" s="1251">
        <f>ROUND(D12+D49,2)</f>
        <v>609172158.00999999</v>
      </c>
      <c r="E51" s="451"/>
      <c r="F51" s="1251">
        <f>ROUND(F12+F49,2)</f>
        <v>374289223.79000002</v>
      </c>
      <c r="G51" s="451"/>
      <c r="H51" s="1251">
        <f>ROUND(H12+H49,2)</f>
        <v>521921079.35000002</v>
      </c>
      <c r="I51" s="451"/>
      <c r="J51" s="476"/>
      <c r="K51" s="451">
        <f>ROUND(K12+K49,2)</f>
        <v>521921079.35000002</v>
      </c>
      <c r="L51" s="448"/>
      <c r="M51" s="454"/>
    </row>
    <row r="52" spans="1:13" ht="15" customHeight="1" thickTop="1">
      <c r="A52" s="440" t="s">
        <v>103</v>
      </c>
      <c r="K52" s="477"/>
      <c r="M52" s="454"/>
    </row>
    <row r="53" spans="1:13" ht="15" customHeight="1">
      <c r="A53" s="445" t="s">
        <v>1032</v>
      </c>
      <c r="M53" s="454"/>
    </row>
    <row r="54" spans="1:13" ht="15" customHeight="1">
      <c r="A54" s="456"/>
      <c r="M54" s="454"/>
    </row>
  </sheetData>
  <customSheetViews>
    <customSheetView guid="{83D69B98-1714-4D17-901F-87B47BE66947}" scale="90" showPageBreaks="1" showGridLines="0" fitToPage="1" printArea="1" topLeftCell="A18">
      <selection activeCell="L53" sqref="L53"/>
      <pageMargins left="0.24" right="0.24" top="0.5" bottom="0.5" header="0.18" footer="0.25"/>
      <printOptions horizontalCentered="1"/>
      <pageSetup scale="60" firstPageNumber="49" orientation="landscape" useFirstPageNumber="1" r:id="rId1"/>
      <headerFooter scaleWithDoc="0" alignWithMargins="0">
        <oddFooter>&amp;C&amp;8&amp;P</oddFooter>
      </headerFooter>
    </customSheetView>
    <customSheetView guid="{F9AE1502-86F7-4AAA-AE66-F6A75A634C1B}" scale="90" showPageBreaks="1" showGridLines="0" fitToPage="1" printArea="1">
      <selection activeCell="L53" sqref="L53"/>
      <pageMargins left="0.24" right="0.24" top="0.5" bottom="0.5" header="0.18" footer="0.25"/>
      <printOptions horizontalCentered="1"/>
      <pageSetup scale="62" firstPageNumber="49" orientation="landscape" useFirstPageNumber="1" r:id="rId2"/>
      <headerFooter scaleWithDoc="0" alignWithMargins="0">
        <oddFooter>&amp;C&amp;8&amp;P</oddFooter>
      </headerFooter>
    </customSheetView>
    <customSheetView guid="{C41E3923-0A88-49D0-AE43-0E74D386A056}" scale="90" showPageBreaks="1" showGridLines="0" fitToPage="1" printArea="1">
      <selection activeCell="P38" sqref="P38"/>
      <pageMargins left="0.24" right="0.24" top="0.5" bottom="0.5" header="0.18" footer="0.25"/>
      <printOptions horizontalCentered="1"/>
      <pageSetup scale="60" firstPageNumber="49" orientation="landscape" useFirstPageNumber="1" r:id="rId3"/>
      <headerFooter scaleWithDoc="0" alignWithMargins="0">
        <oddFooter>&amp;C&amp;8&amp;P</oddFooter>
      </headerFooter>
    </customSheetView>
    <customSheetView guid="{1DF171D7-3BFC-49F6-B708-0F91FCFAB6E2}" scale="90" showPageBreaks="1" showGridLines="0" fitToPage="1" printArea="1">
      <selection activeCell="H46" sqref="H46"/>
      <pageMargins left="0.24" right="0.24" top="0.5" bottom="0.5" header="0.18" footer="0.25"/>
      <printOptions horizontalCentered="1"/>
      <pageSetup scale="60" firstPageNumber="49" orientation="landscape" useFirstPageNumber="1" r:id="rId4"/>
      <headerFooter scaleWithDoc="0" alignWithMargins="0">
        <oddFooter>&amp;C&amp;8&amp;P</oddFooter>
      </headerFooter>
    </customSheetView>
    <customSheetView guid="{9F00D83C-7F4F-41B5-9976-8610D9EBC976}" scale="90" showPageBreaks="1" showGridLines="0" fitToPage="1" printArea="1">
      <selection activeCell="L53" sqref="L53"/>
      <pageMargins left="0.24" right="0.24" top="0.5" bottom="0.5" header="0.18" footer="0.25"/>
      <printOptions horizontalCentered="1"/>
      <pageSetup scale="60" firstPageNumber="49" orientation="landscape" useFirstPageNumber="1" r:id="rId5"/>
      <headerFooter scaleWithDoc="0" alignWithMargins="0">
        <oddFooter>&amp;C&amp;8&amp;P</oddFooter>
      </headerFooter>
    </customSheetView>
    <customSheetView guid="{D1467C25-646C-4F1A-9353-0E890E575522}" scale="90" showPageBreaks="1" showGridLines="0" fitToPage="1" printArea="1">
      <selection activeCell="L53" sqref="L53"/>
      <pageMargins left="0.24" right="0.24" top="0.5" bottom="0.5" header="0.18" footer="0.25"/>
      <printOptions horizontalCentered="1"/>
      <pageSetup scale="60" firstPageNumber="49" orientation="landscape" useFirstPageNumber="1" r:id="rId6"/>
      <headerFooter scaleWithDoc="0" alignWithMargins="0">
        <oddFooter>&amp;C&amp;8&amp;P</oddFooter>
      </headerFooter>
    </customSheetView>
    <customSheetView guid="{3A50DD26-AAF5-43D4-97DE-BAE3367A2F29}" scale="90" showPageBreaks="1" showGridLines="0" fitToPage="1" printArea="1">
      <selection activeCell="L53" sqref="L53"/>
      <pageMargins left="0.24" right="0.24" top="0.5" bottom="0.5" header="0.18" footer="0.25"/>
      <printOptions horizontalCentered="1"/>
      <pageSetup scale="60" firstPageNumber="49" orientation="landscape" useFirstPageNumber="1" r:id="rId7"/>
      <headerFooter scaleWithDoc="0" alignWithMargins="0">
        <oddFooter>&amp;C&amp;8&amp;P</oddFooter>
      </headerFooter>
    </customSheetView>
    <customSheetView guid="{C3636880-B45B-4897-94F2-F91976416934}" scale="90" showPageBreaks="1" showGridLines="0" fitToPage="1" printArea="1">
      <selection activeCell="L53" sqref="L53"/>
      <pageMargins left="0.24" right="0.24" top="0.5" bottom="0.5" header="0.18" footer="0.25"/>
      <printOptions horizontalCentered="1"/>
      <pageSetup scale="62" firstPageNumber="49" orientation="landscape" useFirstPageNumber="1" r:id="rId8"/>
      <headerFooter scaleWithDoc="0" alignWithMargins="0">
        <oddFooter>&amp;C&amp;8&amp;P</oddFooter>
      </headerFooter>
    </customSheetView>
  </customSheetViews>
  <printOptions horizontalCentered="1"/>
  <pageMargins left="0.24" right="0.24" top="0.5" bottom="0.5" header="0.18" footer="0.25"/>
  <pageSetup scale="62" firstPageNumber="49" orientation="landscape" useFirstPageNumber="1" r:id="rId9"/>
  <headerFooter scaleWithDoc="0" alignWithMargins="0">
    <oddFooter>&amp;C&amp;8&amp;P</oddFooter>
  </headerFooter>
  <customProperties>
    <customPr name="SheetOptions" r:id="rId10"/>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0"/>
  <sheetViews>
    <sheetView showGridLines="0" zoomScale="90" zoomScaleNormal="90" workbookViewId="0"/>
  </sheetViews>
  <sheetFormatPr defaultColWidth="8.88671875" defaultRowHeight="15.75"/>
  <cols>
    <col min="1" max="1" width="3.5546875" style="545" customWidth="1"/>
    <col min="2" max="2" width="8.44140625" style="545" customWidth="1"/>
    <col min="3" max="3" width="12.109375" style="545" customWidth="1"/>
    <col min="4" max="4" width="15" style="544" customWidth="1"/>
    <col min="5" max="5" width="15.109375" style="544" customWidth="1"/>
    <col min="6" max="6" width="12.109375" style="545" customWidth="1"/>
    <col min="7" max="7" width="10.109375" style="545" customWidth="1"/>
    <col min="8" max="8" width="9.109375" style="215" customWidth="1"/>
    <col min="9" max="9" width="5.5546875" style="282" customWidth="1"/>
    <col min="10" max="10" width="9.109375" style="282" customWidth="1"/>
    <col min="11" max="11" width="8.109375" style="544" customWidth="1"/>
    <col min="12" max="12" width="16" style="544" customWidth="1"/>
    <col min="13" max="13" width="12.109375" style="544" customWidth="1"/>
    <col min="14" max="14" width="7.88671875" style="544" customWidth="1"/>
    <col min="15" max="15" width="18.88671875" style="560" customWidth="1"/>
    <col min="16" max="16" width="4.88671875" style="560" customWidth="1"/>
    <col min="17" max="17" width="8" style="560" customWidth="1"/>
    <col min="18" max="18" width="3.88671875" style="560" customWidth="1"/>
    <col min="19" max="19" width="13.109375" style="560" customWidth="1"/>
    <col min="20" max="21" width="12.109375" style="560" customWidth="1"/>
    <col min="22" max="16384" width="8.88671875" style="560"/>
  </cols>
  <sheetData>
    <row r="1" spans="1:20">
      <c r="A1" s="898" t="s">
        <v>97</v>
      </c>
    </row>
    <row r="2" spans="1:20">
      <c r="A2" s="212" t="s">
        <v>168</v>
      </c>
      <c r="B2" s="213"/>
      <c r="C2" s="214"/>
      <c r="D2" s="215"/>
      <c r="E2" s="215"/>
      <c r="F2" s="215"/>
      <c r="G2" s="215"/>
      <c r="I2" s="216"/>
      <c r="J2" s="216"/>
      <c r="K2" s="215"/>
      <c r="L2" s="215"/>
      <c r="M2" s="215"/>
      <c r="N2" s="217"/>
      <c r="O2" s="363" t="s">
        <v>169</v>
      </c>
      <c r="Q2" s="218"/>
      <c r="R2" s="218"/>
      <c r="S2" s="219"/>
      <c r="T2" s="220"/>
    </row>
    <row r="3" spans="1:20" ht="13.35" customHeight="1">
      <c r="A3" s="213"/>
      <c r="B3" s="213"/>
      <c r="C3" s="214"/>
      <c r="D3" s="215"/>
      <c r="E3" s="215"/>
      <c r="F3" s="215"/>
      <c r="G3" s="215"/>
      <c r="I3" s="545"/>
      <c r="J3" s="545"/>
      <c r="M3" s="545"/>
      <c r="N3" s="1485"/>
      <c r="O3" s="973" t="str">
        <f>UPPER(TEXT(DATE(YEAR(_xlfn.TEXTAFTER('Exh D Governmental  '!A6," ",4)),MONTH(_xlfn.TEXTAFTER('Exh D Governmental  '!A6," ",4)),DAY(_xlfn.TEXTAFTER('Exh D Governmental  '!A6," ",4))),"MMMM YYYY"))</f>
        <v>JUNE 2026</v>
      </c>
      <c r="T3" s="220"/>
    </row>
    <row r="4" spans="1:20" ht="9" customHeight="1">
      <c r="T4" s="220"/>
    </row>
    <row r="5" spans="1:20" ht="13.5" customHeight="1">
      <c r="T5" s="220"/>
    </row>
    <row r="6" spans="1:20" ht="13.5" customHeight="1">
      <c r="A6" s="221" t="s">
        <v>170</v>
      </c>
      <c r="B6" s="215" t="s">
        <v>171</v>
      </c>
      <c r="C6" s="215"/>
      <c r="D6" s="215"/>
      <c r="E6" s="215"/>
      <c r="F6" s="215"/>
      <c r="G6" s="215"/>
      <c r="H6" s="223"/>
      <c r="J6" s="961" t="s">
        <v>172</v>
      </c>
    </row>
    <row r="7" spans="1:20" ht="13.5" customHeight="1">
      <c r="A7" s="221"/>
      <c r="B7" s="215" t="s">
        <v>173</v>
      </c>
      <c r="C7" s="215"/>
      <c r="D7" s="215"/>
      <c r="E7" s="215"/>
      <c r="F7" s="215"/>
      <c r="G7" s="215"/>
      <c r="H7" s="545"/>
      <c r="J7" s="944" t="s">
        <v>1544</v>
      </c>
    </row>
    <row r="8" spans="1:20" ht="13.35" customHeight="1">
      <c r="A8" s="221"/>
      <c r="B8" s="215" t="s">
        <v>174</v>
      </c>
      <c r="C8" s="215"/>
      <c r="D8" s="215"/>
      <c r="E8" s="215"/>
      <c r="F8" s="215"/>
      <c r="G8" s="215"/>
      <c r="H8" s="545"/>
      <c r="J8" s="215" t="s">
        <v>1478</v>
      </c>
      <c r="K8" s="675"/>
      <c r="L8" s="574"/>
      <c r="M8" s="215"/>
      <c r="N8" s="575"/>
    </row>
    <row r="9" spans="1:20" ht="12.75" customHeight="1">
      <c r="A9" s="221"/>
      <c r="B9" s="215" t="s">
        <v>1464</v>
      </c>
      <c r="C9" s="215"/>
      <c r="D9" s="215"/>
      <c r="E9" s="215"/>
      <c r="F9" s="215"/>
      <c r="G9" s="215"/>
      <c r="H9" s="221"/>
      <c r="J9" s="215" t="s">
        <v>1541</v>
      </c>
      <c r="K9" s="675"/>
      <c r="L9" s="574"/>
      <c r="M9" s="215"/>
      <c r="N9" s="575"/>
    </row>
    <row r="10" spans="1:20" ht="12.75" customHeight="1">
      <c r="K10" s="675"/>
      <c r="L10" s="574"/>
      <c r="M10" s="215"/>
      <c r="N10" s="575"/>
    </row>
    <row r="11" spans="1:20" ht="12.75" customHeight="1">
      <c r="A11" s="215"/>
      <c r="B11" s="215"/>
      <c r="C11" s="216" t="s">
        <v>175</v>
      </c>
      <c r="D11" s="574"/>
      <c r="E11" s="215"/>
      <c r="F11" s="574">
        <v>168.4</v>
      </c>
      <c r="G11" s="215" t="s">
        <v>176</v>
      </c>
      <c r="H11" s="221" t="s">
        <v>103</v>
      </c>
      <c r="J11" s="215" t="s">
        <v>1540</v>
      </c>
      <c r="K11" s="675"/>
      <c r="L11" s="574"/>
      <c r="M11" s="215"/>
      <c r="N11" s="575"/>
    </row>
    <row r="12" spans="1:20" ht="12.75" customHeight="1">
      <c r="A12" s="215"/>
      <c r="B12" s="216"/>
      <c r="C12" s="216" t="s">
        <v>177</v>
      </c>
      <c r="D12" s="577"/>
      <c r="E12" s="215"/>
      <c r="F12" s="979">
        <v>38.9</v>
      </c>
      <c r="G12" s="215"/>
      <c r="H12" s="215" t="s">
        <v>103</v>
      </c>
    </row>
    <row r="13" spans="1:20" ht="12.75" customHeight="1">
      <c r="A13" s="215"/>
      <c r="B13" s="216"/>
      <c r="C13" s="216" t="s">
        <v>178</v>
      </c>
      <c r="D13" s="577"/>
      <c r="E13" s="215"/>
      <c r="F13" s="949">
        <v>2061.8000000000002</v>
      </c>
      <c r="G13" s="215"/>
      <c r="H13" s="560" t="s">
        <v>103</v>
      </c>
      <c r="K13" s="216" t="s">
        <v>1537</v>
      </c>
      <c r="L13" s="574"/>
      <c r="M13" s="215"/>
      <c r="N13" s="587">
        <v>15.9</v>
      </c>
      <c r="O13" s="215" t="s">
        <v>176</v>
      </c>
      <c r="T13" s="215"/>
    </row>
    <row r="14" spans="1:20" ht="12.75" customHeight="1">
      <c r="A14" s="215"/>
      <c r="B14" s="216"/>
      <c r="C14" s="216" t="s">
        <v>179</v>
      </c>
      <c r="D14" s="577"/>
      <c r="E14" s="215"/>
      <c r="F14" s="949">
        <v>12.9</v>
      </c>
      <c r="H14" s="545" t="s">
        <v>103</v>
      </c>
      <c r="K14" s="216" t="s">
        <v>1538</v>
      </c>
      <c r="L14" s="574"/>
      <c r="M14" s="215"/>
      <c r="N14" s="575">
        <v>1.4</v>
      </c>
      <c r="T14" s="222"/>
    </row>
    <row r="15" spans="1:20" ht="12.75" customHeight="1">
      <c r="A15" s="215"/>
      <c r="B15" s="216"/>
      <c r="C15" s="216" t="s">
        <v>180</v>
      </c>
      <c r="D15" s="577"/>
      <c r="E15" s="215"/>
      <c r="F15" s="949">
        <v>790.8</v>
      </c>
      <c r="G15" s="215"/>
      <c r="H15" s="221" t="s">
        <v>103</v>
      </c>
      <c r="K15" s="216" t="s">
        <v>1539</v>
      </c>
      <c r="L15" s="574"/>
      <c r="M15" s="215"/>
      <c r="N15" s="575">
        <v>12.6</v>
      </c>
      <c r="T15" s="222"/>
    </row>
    <row r="16" spans="1:20" ht="12.75" customHeight="1">
      <c r="C16" s="216" t="s">
        <v>181</v>
      </c>
      <c r="F16" s="576">
        <v>1861.6</v>
      </c>
      <c r="R16" s="215"/>
    </row>
    <row r="17" spans="1:17" ht="12.75" customHeight="1">
      <c r="A17" s="215"/>
      <c r="B17" s="216"/>
      <c r="C17" s="216" t="s">
        <v>182</v>
      </c>
      <c r="D17" s="578"/>
      <c r="E17" s="215"/>
      <c r="F17" s="979">
        <v>403.7</v>
      </c>
      <c r="G17" s="215"/>
      <c r="P17" s="574"/>
    </row>
    <row r="18" spans="1:17" ht="12.75" customHeight="1">
      <c r="A18" s="215"/>
      <c r="B18" s="216"/>
      <c r="C18" s="216" t="s">
        <v>183</v>
      </c>
      <c r="D18" s="578"/>
      <c r="E18" s="215"/>
      <c r="F18" s="949">
        <v>321.39999999999998</v>
      </c>
      <c r="G18" s="215"/>
      <c r="J18" s="213" t="s">
        <v>1502</v>
      </c>
      <c r="K18" s="282"/>
      <c r="O18" s="545"/>
    </row>
    <row r="19" spans="1:17" ht="12.75" customHeight="1">
      <c r="A19" s="215"/>
      <c r="B19" s="216"/>
      <c r="G19" s="215"/>
    </row>
    <row r="20" spans="1:17" ht="13.35" customHeight="1">
      <c r="A20" s="221" t="s">
        <v>186</v>
      </c>
      <c r="B20" s="215" t="s">
        <v>187</v>
      </c>
      <c r="C20" s="215"/>
      <c r="D20" s="215"/>
      <c r="E20" s="215"/>
      <c r="F20" s="215"/>
      <c r="G20" s="215"/>
      <c r="H20" s="221"/>
      <c r="K20" s="216" t="s">
        <v>184</v>
      </c>
      <c r="L20" s="574"/>
      <c r="M20" s="215"/>
      <c r="N20" s="587">
        <v>12898.5</v>
      </c>
      <c r="O20" s="215" t="s">
        <v>176</v>
      </c>
      <c r="Q20" s="977"/>
    </row>
    <row r="21" spans="1:17" ht="12.6" customHeight="1">
      <c r="A21" s="221"/>
      <c r="B21" s="215" t="s">
        <v>189</v>
      </c>
      <c r="C21" s="215"/>
      <c r="D21" s="215"/>
      <c r="E21" s="215"/>
      <c r="F21" s="215"/>
      <c r="G21" s="215"/>
      <c r="J21" s="216"/>
      <c r="K21" s="216" t="s">
        <v>185</v>
      </c>
      <c r="L21" s="574"/>
      <c r="M21" s="215"/>
      <c r="N21" s="575">
        <v>2519.1999999999998</v>
      </c>
      <c r="O21" s="545"/>
      <c r="Q21" s="950"/>
    </row>
    <row r="22" spans="1:17" ht="14.1" customHeight="1">
      <c r="A22" s="221"/>
      <c r="B22" s="215"/>
      <c r="C22" s="215"/>
      <c r="D22" s="215"/>
      <c r="E22" s="215"/>
      <c r="F22" s="215"/>
      <c r="G22" s="215"/>
      <c r="J22" s="216"/>
      <c r="K22" s="216" t="s">
        <v>188</v>
      </c>
      <c r="L22" s="574"/>
      <c r="M22" s="215"/>
      <c r="N22" s="575">
        <v>313.39999999999998</v>
      </c>
      <c r="Q22" s="977"/>
    </row>
    <row r="23" spans="1:17" ht="12.75" customHeight="1">
      <c r="A23" s="215"/>
      <c r="B23" s="579" t="s">
        <v>191</v>
      </c>
      <c r="C23" s="579"/>
      <c r="D23" s="215"/>
      <c r="E23" s="215"/>
      <c r="F23" s="976"/>
      <c r="G23" s="215"/>
      <c r="J23" s="216"/>
      <c r="K23" s="216" t="s">
        <v>190</v>
      </c>
      <c r="L23" s="687"/>
      <c r="M23" s="215"/>
      <c r="N23" s="576">
        <v>585.20000000000005</v>
      </c>
    </row>
    <row r="24" spans="1:17" ht="12.75" customHeight="1">
      <c r="G24" s="215"/>
    </row>
    <row r="25" spans="1:17" ht="13.35" customHeight="1">
      <c r="C25" s="216" t="s">
        <v>192</v>
      </c>
      <c r="F25" s="587">
        <v>-323.3</v>
      </c>
      <c r="G25" s="215" t="s">
        <v>176</v>
      </c>
      <c r="J25" s="215" t="s">
        <v>1447</v>
      </c>
      <c r="K25" s="216"/>
      <c r="L25" s="215"/>
      <c r="M25" s="215"/>
      <c r="N25" s="215"/>
    </row>
    <row r="26" spans="1:17" ht="12.75" customHeight="1">
      <c r="C26" s="216" t="s">
        <v>193</v>
      </c>
      <c r="D26" s="574"/>
      <c r="E26" s="215"/>
      <c r="F26" s="975">
        <v>7.4</v>
      </c>
      <c r="G26" s="560"/>
      <c r="H26" s="545"/>
      <c r="J26" s="215" t="s">
        <v>1460</v>
      </c>
      <c r="K26" s="216"/>
      <c r="L26" s="215"/>
      <c r="M26" s="215"/>
      <c r="N26" s="215"/>
      <c r="O26" s="223"/>
    </row>
    <row r="27" spans="1:17" ht="12.75" customHeight="1">
      <c r="C27" s="215" t="s">
        <v>194</v>
      </c>
      <c r="F27" s="975">
        <v>7.3</v>
      </c>
      <c r="G27" s="215"/>
      <c r="J27" s="215" t="s">
        <v>1545</v>
      </c>
      <c r="K27" s="223"/>
      <c r="L27" s="223"/>
      <c r="M27" s="223"/>
      <c r="N27" s="223"/>
      <c r="O27" s="545"/>
    </row>
    <row r="28" spans="1:17" ht="12.75" customHeight="1">
      <c r="C28" s="215" t="s">
        <v>1535</v>
      </c>
      <c r="F28" s="975">
        <v>34.200000000000003</v>
      </c>
      <c r="H28" s="221"/>
      <c r="J28" s="223"/>
      <c r="K28" s="545"/>
      <c r="N28" s="545"/>
      <c r="O28" s="545"/>
    </row>
    <row r="29" spans="1:17" ht="13.35" customHeight="1">
      <c r="C29" s="215" t="s">
        <v>195</v>
      </c>
      <c r="F29" s="975">
        <v>74.599999999999994</v>
      </c>
      <c r="J29" s="213" t="s">
        <v>1546</v>
      </c>
      <c r="K29" s="675"/>
      <c r="L29" s="687"/>
      <c r="M29" s="215"/>
      <c r="N29" s="576"/>
    </row>
    <row r="30" spans="1:17" ht="13.35" customHeight="1">
      <c r="C30" s="675" t="s">
        <v>1530</v>
      </c>
      <c r="D30" s="574"/>
      <c r="E30" s="215"/>
      <c r="F30" s="975">
        <v>16.5</v>
      </c>
      <c r="G30" s="1330" t="s">
        <v>103</v>
      </c>
    </row>
    <row r="31" spans="1:17" ht="12.75" customHeight="1">
      <c r="C31" s="675" t="s">
        <v>1531</v>
      </c>
      <c r="D31" s="574"/>
      <c r="E31" s="215"/>
      <c r="F31" s="975">
        <v>1.3</v>
      </c>
      <c r="K31" s="216"/>
      <c r="L31" s="574"/>
      <c r="M31" s="215"/>
      <c r="N31" s="575"/>
    </row>
    <row r="32" spans="1:17" ht="12.75" customHeight="1">
      <c r="C32" s="675" t="s">
        <v>1532</v>
      </c>
      <c r="D32" s="574"/>
      <c r="E32" s="215"/>
      <c r="F32" s="975">
        <v>4.4000000000000004</v>
      </c>
      <c r="K32" s="216"/>
      <c r="L32" s="574"/>
      <c r="M32" s="215"/>
      <c r="N32" s="575"/>
    </row>
    <row r="33" spans="2:20" ht="12.75" customHeight="1">
      <c r="C33" s="675" t="s">
        <v>1480</v>
      </c>
      <c r="D33" s="574"/>
      <c r="E33" s="215"/>
      <c r="F33" s="975">
        <v>24.5</v>
      </c>
      <c r="K33" s="216"/>
      <c r="L33" s="574"/>
      <c r="M33" s="215"/>
      <c r="N33" s="575"/>
    </row>
    <row r="34" spans="2:20" ht="12.75" customHeight="1">
      <c r="C34" s="675" t="s">
        <v>1507</v>
      </c>
      <c r="D34" s="574"/>
      <c r="E34" s="215"/>
      <c r="F34" s="975">
        <v>97.7</v>
      </c>
      <c r="G34" s="560"/>
      <c r="K34" s="963"/>
      <c r="L34" s="962"/>
      <c r="M34" s="962"/>
      <c r="N34" s="962"/>
    </row>
    <row r="35" spans="2:20" ht="12.75" customHeight="1">
      <c r="C35" s="675" t="s">
        <v>1533</v>
      </c>
      <c r="D35" s="574"/>
      <c r="E35" s="215"/>
      <c r="F35" s="975">
        <v>19</v>
      </c>
      <c r="G35" s="560"/>
      <c r="K35" s="675"/>
      <c r="L35" s="960"/>
      <c r="M35" s="215"/>
      <c r="N35" s="575"/>
    </row>
    <row r="36" spans="2:20" ht="12.75" customHeight="1">
      <c r="C36" s="675" t="s">
        <v>1493</v>
      </c>
      <c r="D36" s="574"/>
      <c r="E36" s="215"/>
      <c r="F36" s="975">
        <v>39.799999999999997</v>
      </c>
      <c r="G36" s="560"/>
    </row>
    <row r="37" spans="2:20" ht="13.35" customHeight="1">
      <c r="C37" s="675" t="s">
        <v>1500</v>
      </c>
      <c r="D37" s="574"/>
      <c r="E37" s="215"/>
      <c r="F37" s="975">
        <v>2.2999999999999998</v>
      </c>
      <c r="G37" s="223"/>
    </row>
    <row r="38" spans="2:20" ht="12.75" customHeight="1">
      <c r="C38" s="675" t="s">
        <v>1534</v>
      </c>
      <c r="D38" s="574"/>
      <c r="E38" s="215"/>
      <c r="F38" s="975">
        <v>2.6</v>
      </c>
      <c r="G38" s="215"/>
    </row>
    <row r="39" spans="2:20" ht="12.75" customHeight="1">
      <c r="C39" s="675" t="s">
        <v>1505</v>
      </c>
      <c r="D39" s="574"/>
      <c r="E39" s="215"/>
      <c r="F39" s="975">
        <v>844.3</v>
      </c>
      <c r="G39" s="544"/>
      <c r="R39" s="215"/>
    </row>
    <row r="40" spans="2:20" ht="12.75" customHeight="1">
      <c r="C40" s="675" t="s">
        <v>1501</v>
      </c>
      <c r="D40" s="574"/>
      <c r="E40" s="215"/>
      <c r="F40" s="975">
        <v>30</v>
      </c>
      <c r="G40" s="560"/>
      <c r="P40" s="215"/>
      <c r="R40" s="222"/>
    </row>
    <row r="41" spans="2:20" ht="12.75" customHeight="1">
      <c r="C41" s="675" t="s">
        <v>103</v>
      </c>
      <c r="D41" s="574"/>
      <c r="E41" s="215"/>
      <c r="F41" s="975" t="s">
        <v>103</v>
      </c>
      <c r="G41" s="560"/>
      <c r="R41" s="222"/>
      <c r="T41" s="278"/>
    </row>
    <row r="42" spans="2:20" ht="12.75" customHeight="1">
      <c r="C42" s="675" t="s">
        <v>103</v>
      </c>
      <c r="D42" s="574"/>
      <c r="E42" s="215"/>
      <c r="F42" s="975" t="s">
        <v>103</v>
      </c>
      <c r="T42" s="278"/>
    </row>
    <row r="43" spans="2:20" ht="13.35" customHeight="1">
      <c r="B43" s="216" t="s">
        <v>196</v>
      </c>
      <c r="C43" s="675"/>
      <c r="D43" s="574"/>
      <c r="E43" s="215"/>
      <c r="F43" s="975"/>
      <c r="T43" s="278"/>
    </row>
    <row r="44" spans="2:20" ht="12.75" customHeight="1">
      <c r="B44" s="215" t="s">
        <v>1542</v>
      </c>
      <c r="C44" s="675"/>
      <c r="D44" s="574"/>
      <c r="E44" s="215"/>
      <c r="F44" s="975"/>
      <c r="Q44" s="950"/>
      <c r="T44" s="278"/>
    </row>
    <row r="45" spans="2:20" ht="12.75" customHeight="1">
      <c r="B45" s="215" t="s">
        <v>1543</v>
      </c>
      <c r="C45" s="675"/>
      <c r="D45" s="574"/>
      <c r="E45" s="215"/>
      <c r="F45" s="575"/>
      <c r="Q45" s="978"/>
      <c r="T45" s="278"/>
    </row>
    <row r="46" spans="2:20" ht="12.75" customHeight="1">
      <c r="B46" s="282"/>
      <c r="C46" s="675"/>
      <c r="D46" s="574"/>
      <c r="E46" s="215"/>
      <c r="F46" s="575"/>
      <c r="T46" s="278"/>
    </row>
    <row r="47" spans="2:20" ht="12.75" customHeight="1">
      <c r="B47" s="215" t="s">
        <v>197</v>
      </c>
      <c r="C47" s="675"/>
      <c r="D47" s="574"/>
      <c r="E47" s="215"/>
      <c r="F47" s="575"/>
      <c r="T47" s="278"/>
    </row>
    <row r="48" spans="2:20" ht="12.75" customHeight="1">
      <c r="B48" s="215" t="s">
        <v>198</v>
      </c>
      <c r="C48" s="675"/>
      <c r="D48" s="574"/>
      <c r="E48" s="215"/>
      <c r="F48" s="575"/>
      <c r="P48" s="223"/>
      <c r="S48" s="950"/>
      <c r="T48" s="278"/>
    </row>
    <row r="49" spans="1:19" ht="13.5" customHeight="1">
      <c r="B49" s="215" t="s">
        <v>1536</v>
      </c>
      <c r="C49" s="675"/>
      <c r="D49" s="574"/>
      <c r="E49" s="215"/>
      <c r="F49" s="575"/>
      <c r="P49" s="223"/>
      <c r="S49" s="950"/>
    </row>
    <row r="50" spans="1:19" ht="12.75" customHeight="1">
      <c r="B50" s="215" t="s">
        <v>1504</v>
      </c>
      <c r="C50" s="675"/>
      <c r="D50" s="574"/>
      <c r="E50" s="215"/>
      <c r="F50" s="575"/>
      <c r="P50" s="223"/>
    </row>
    <row r="51" spans="1:19" ht="12.75" customHeight="1">
      <c r="B51" s="215" t="s">
        <v>1506</v>
      </c>
      <c r="C51" s="675"/>
      <c r="D51" s="574"/>
      <c r="E51" s="215"/>
      <c r="F51" s="575"/>
      <c r="P51" s="223"/>
    </row>
    <row r="52" spans="1:19" ht="12.75" customHeight="1">
      <c r="C52" s="675"/>
      <c r="D52" s="574"/>
      <c r="E52" s="215"/>
      <c r="F52" s="575"/>
      <c r="H52" s="576"/>
      <c r="P52" s="223"/>
      <c r="R52" s="227"/>
    </row>
    <row r="53" spans="1:19" ht="12.75" customHeight="1">
      <c r="H53" s="576"/>
      <c r="P53" s="219"/>
      <c r="R53" s="215"/>
    </row>
    <row r="54" spans="1:19" ht="12.75" customHeight="1">
      <c r="H54" s="576"/>
      <c r="P54" s="219"/>
      <c r="R54" s="215"/>
    </row>
    <row r="55" spans="1:19" ht="12.75" customHeight="1">
      <c r="H55" s="576"/>
      <c r="P55" s="219"/>
      <c r="R55" s="215"/>
    </row>
    <row r="56" spans="1:19" ht="12.75" customHeight="1">
      <c r="H56" s="576"/>
      <c r="P56" s="219"/>
    </row>
    <row r="57" spans="1:19" ht="12.75" customHeight="1">
      <c r="H57" s="576"/>
      <c r="P57" s="219"/>
    </row>
    <row r="58" spans="1:19" ht="12.75" customHeight="1">
      <c r="J58" s="216"/>
      <c r="P58" s="219"/>
    </row>
    <row r="59" spans="1:19" ht="12.75" customHeight="1">
      <c r="I59" s="216"/>
      <c r="P59" s="219"/>
      <c r="Q59" s="215"/>
    </row>
    <row r="60" spans="1:19">
      <c r="I60" s="216"/>
      <c r="J60" s="216"/>
      <c r="K60" s="215"/>
      <c r="L60" s="224"/>
      <c r="M60" s="225"/>
      <c r="N60" s="225"/>
      <c r="O60" s="223"/>
      <c r="P60" s="219"/>
      <c r="Q60" s="215"/>
    </row>
    <row r="61" spans="1:19">
      <c r="A61" s="223"/>
      <c r="B61" s="215"/>
      <c r="E61" s="560"/>
      <c r="F61" s="560"/>
      <c r="G61" s="950" t="s">
        <v>103</v>
      </c>
      <c r="I61" s="216"/>
      <c r="J61" s="216"/>
      <c r="K61" s="215"/>
      <c r="L61" s="224"/>
      <c r="M61" s="225"/>
      <c r="N61" s="225"/>
      <c r="Q61" s="215"/>
    </row>
    <row r="62" spans="1:19">
      <c r="A62" s="560"/>
      <c r="B62" s="560"/>
      <c r="C62" s="560"/>
      <c r="D62" s="560"/>
      <c r="E62" s="560"/>
      <c r="F62" s="560"/>
      <c r="G62" s="560"/>
      <c r="I62" s="216"/>
      <c r="P62" s="218"/>
      <c r="Q62" s="215"/>
    </row>
    <row r="63" spans="1:19">
      <c r="B63" s="579"/>
      <c r="I63" s="221"/>
      <c r="J63" s="216"/>
      <c r="P63" s="218"/>
      <c r="Q63" s="215"/>
    </row>
    <row r="64" spans="1:19">
      <c r="J64" s="216"/>
      <c r="P64" s="218"/>
      <c r="Q64" s="215"/>
    </row>
    <row r="65" spans="1:17">
      <c r="C65" s="216"/>
      <c r="D65" s="574"/>
      <c r="E65" s="215"/>
      <c r="F65" s="575"/>
      <c r="J65" s="216"/>
      <c r="P65" s="218"/>
      <c r="Q65" s="215"/>
    </row>
    <row r="66" spans="1:17">
      <c r="C66" s="216"/>
      <c r="D66" s="574"/>
      <c r="E66" s="215"/>
      <c r="F66" s="575"/>
      <c r="P66" s="215"/>
      <c r="Q66" s="215"/>
    </row>
    <row r="67" spans="1:17">
      <c r="C67" s="216"/>
      <c r="D67" s="574"/>
      <c r="E67" s="215"/>
      <c r="F67" s="575"/>
      <c r="P67" s="215"/>
      <c r="Q67" s="215"/>
    </row>
    <row r="68" spans="1:17">
      <c r="C68" s="216"/>
      <c r="D68" s="574"/>
      <c r="E68" s="215"/>
      <c r="F68" s="575"/>
      <c r="I68" s="221"/>
      <c r="J68" s="216"/>
      <c r="P68" s="215"/>
      <c r="Q68" s="215"/>
    </row>
    <row r="69" spans="1:17">
      <c r="C69" s="216"/>
      <c r="D69" s="574"/>
      <c r="E69" s="215"/>
      <c r="F69" s="575"/>
      <c r="I69" s="216"/>
      <c r="J69" s="216"/>
      <c r="P69" s="215"/>
      <c r="Q69" s="215"/>
    </row>
    <row r="70" spans="1:17">
      <c r="C70" s="216"/>
      <c r="D70" s="574"/>
      <c r="E70" s="215"/>
      <c r="F70" s="575"/>
      <c r="I70" s="216"/>
      <c r="J70" s="216"/>
      <c r="P70" s="215"/>
      <c r="Q70" s="215"/>
    </row>
    <row r="71" spans="1:17">
      <c r="C71" s="216"/>
      <c r="D71" s="574"/>
      <c r="E71" s="215"/>
      <c r="F71" s="575"/>
      <c r="I71" s="216"/>
      <c r="J71" s="216"/>
      <c r="P71" s="215"/>
      <c r="Q71" s="215"/>
    </row>
    <row r="72" spans="1:17">
      <c r="G72" s="1330" t="s">
        <v>103</v>
      </c>
      <c r="I72" s="218"/>
      <c r="P72" s="215"/>
      <c r="Q72" s="215"/>
    </row>
    <row r="73" spans="1:17">
      <c r="I73" s="218"/>
      <c r="P73" s="215"/>
      <c r="Q73" s="215"/>
    </row>
    <row r="74" spans="1:17">
      <c r="A74" s="282"/>
      <c r="I74" s="218"/>
      <c r="O74" s="215"/>
      <c r="Q74" s="215"/>
    </row>
    <row r="75" spans="1:17">
      <c r="A75" s="282"/>
      <c r="I75" s="560"/>
      <c r="O75" s="215"/>
      <c r="P75" s="215"/>
      <c r="Q75" s="215"/>
    </row>
    <row r="76" spans="1:17">
      <c r="A76" s="282"/>
      <c r="I76" s="215"/>
      <c r="J76" s="216"/>
      <c r="K76" s="215"/>
      <c r="L76" s="224"/>
      <c r="M76" s="225"/>
      <c r="N76" s="225"/>
      <c r="O76" s="215"/>
      <c r="P76" s="226"/>
      <c r="Q76" s="215"/>
    </row>
    <row r="77" spans="1:17">
      <c r="A77" s="282"/>
      <c r="I77" s="216"/>
      <c r="J77" s="216"/>
      <c r="K77" s="215"/>
      <c r="L77" s="224"/>
      <c r="M77" s="225"/>
      <c r="N77" s="225"/>
      <c r="O77" s="215"/>
      <c r="P77" s="215"/>
      <c r="Q77" s="215"/>
    </row>
    <row r="78" spans="1:17">
      <c r="A78" s="282"/>
      <c r="I78" s="216"/>
      <c r="J78" s="545"/>
      <c r="K78" s="215"/>
      <c r="L78" s="224"/>
      <c r="M78" s="225"/>
      <c r="N78" s="225"/>
      <c r="O78" s="215"/>
      <c r="P78" s="228"/>
      <c r="Q78" s="215"/>
    </row>
    <row r="79" spans="1:17">
      <c r="A79" s="282"/>
      <c r="I79" s="216"/>
      <c r="J79" s="545"/>
      <c r="K79" s="215"/>
      <c r="L79" s="224"/>
      <c r="M79" s="225"/>
      <c r="N79" s="225"/>
      <c r="O79" s="215"/>
      <c r="P79" s="215"/>
    </row>
    <row r="80" spans="1:17">
      <c r="A80" s="282"/>
      <c r="I80" s="216"/>
      <c r="O80" s="215"/>
      <c r="P80" s="215"/>
      <c r="Q80" s="215"/>
    </row>
    <row r="81" spans="1:17">
      <c r="A81" s="282"/>
      <c r="I81" s="216"/>
      <c r="O81" s="215"/>
      <c r="P81" s="215"/>
      <c r="Q81" s="215"/>
    </row>
    <row r="82" spans="1:17">
      <c r="A82" s="282"/>
      <c r="I82" s="216"/>
      <c r="J82" s="216"/>
      <c r="K82" s="215"/>
      <c r="L82" s="215"/>
      <c r="M82" s="215"/>
      <c r="N82" s="215"/>
      <c r="O82" s="215"/>
      <c r="P82" s="215"/>
      <c r="Q82" s="215"/>
    </row>
    <row r="83" spans="1:17">
      <c r="A83" s="282"/>
      <c r="I83" s="216"/>
      <c r="J83" s="216"/>
      <c r="K83" s="215"/>
      <c r="L83" s="215"/>
      <c r="M83" s="215"/>
      <c r="N83" s="215"/>
      <c r="O83" s="215"/>
      <c r="P83" s="215"/>
      <c r="Q83" s="215"/>
    </row>
    <row r="84" spans="1:17">
      <c r="A84" s="282"/>
      <c r="I84" s="216"/>
      <c r="J84" s="216"/>
      <c r="K84" s="215"/>
      <c r="L84" s="215"/>
      <c r="M84" s="215"/>
      <c r="N84" s="215"/>
      <c r="O84" s="215"/>
      <c r="P84" s="227"/>
    </row>
    <row r="85" spans="1:17">
      <c r="A85" s="282"/>
      <c r="I85" s="215"/>
      <c r="J85" s="216"/>
      <c r="K85" s="215"/>
      <c r="L85" s="215"/>
      <c r="M85" s="215"/>
      <c r="N85" s="215"/>
    </row>
    <row r="86" spans="1:17">
      <c r="I86" s="215"/>
      <c r="J86" s="216"/>
      <c r="K86" s="215"/>
      <c r="L86" s="215"/>
      <c r="M86" s="215"/>
      <c r="N86" s="215"/>
      <c r="O86" s="215"/>
    </row>
    <row r="87" spans="1:17">
      <c r="D87" s="687"/>
      <c r="E87" s="215"/>
      <c r="F87" s="576"/>
      <c r="G87" s="223"/>
      <c r="I87" s="215"/>
      <c r="J87" s="216"/>
      <c r="K87" s="215"/>
      <c r="L87" s="215"/>
      <c r="M87" s="215"/>
      <c r="N87" s="215"/>
      <c r="O87" s="215"/>
    </row>
    <row r="88" spans="1:17">
      <c r="C88" s="675"/>
      <c r="D88" s="687"/>
      <c r="E88" s="215"/>
      <c r="F88" s="576"/>
      <c r="G88" s="223"/>
      <c r="I88" s="215"/>
      <c r="J88" s="216"/>
      <c r="K88" s="215"/>
      <c r="L88" s="215"/>
      <c r="M88" s="215"/>
      <c r="N88" s="215"/>
      <c r="O88" s="215"/>
    </row>
    <row r="89" spans="1:17">
      <c r="C89" s="675"/>
      <c r="D89" s="574"/>
      <c r="E89" s="215"/>
      <c r="F89" s="575"/>
      <c r="G89" s="223"/>
      <c r="I89" s="215"/>
      <c r="J89" s="216"/>
      <c r="K89" s="215"/>
      <c r="L89" s="215"/>
      <c r="M89" s="215"/>
      <c r="N89" s="215"/>
      <c r="O89" s="215"/>
    </row>
    <row r="90" spans="1:17">
      <c r="C90" s="216"/>
      <c r="J90" s="216"/>
      <c r="K90" s="215"/>
      <c r="L90" s="215"/>
      <c r="M90" s="215"/>
      <c r="N90" s="215"/>
    </row>
    <row r="91" spans="1:17">
      <c r="B91" s="560"/>
      <c r="C91" s="560"/>
      <c r="D91" s="560"/>
      <c r="E91" s="560"/>
      <c r="F91" s="560"/>
      <c r="G91" s="560"/>
      <c r="J91" s="216"/>
      <c r="K91" s="215"/>
      <c r="L91" s="215"/>
      <c r="M91" s="215"/>
      <c r="N91" s="215"/>
    </row>
    <row r="92" spans="1:17">
      <c r="B92" s="560"/>
      <c r="C92" s="560"/>
      <c r="D92" s="560"/>
      <c r="E92" s="560"/>
      <c r="F92" s="560"/>
      <c r="G92" s="560"/>
      <c r="J92" s="216"/>
      <c r="K92" s="215"/>
      <c r="L92" s="215"/>
      <c r="M92" s="215"/>
      <c r="N92" s="215"/>
    </row>
    <row r="93" spans="1:17">
      <c r="A93" s="560"/>
      <c r="B93" s="560"/>
      <c r="C93" s="560"/>
      <c r="D93" s="560"/>
      <c r="E93" s="560"/>
      <c r="F93" s="560"/>
      <c r="J93" s="216"/>
      <c r="K93" s="215"/>
      <c r="L93" s="215"/>
      <c r="M93" s="215"/>
      <c r="N93" s="215"/>
    </row>
    <row r="94" spans="1:17">
      <c r="A94" s="560"/>
      <c r="J94" s="216"/>
      <c r="K94" s="215"/>
      <c r="L94" s="215"/>
      <c r="M94" s="215"/>
      <c r="N94" s="215"/>
    </row>
    <row r="95" spans="1:17">
      <c r="A95" s="560"/>
      <c r="I95" s="560"/>
      <c r="J95" s="216"/>
      <c r="K95" s="215"/>
      <c r="L95" s="215"/>
      <c r="M95" s="215"/>
      <c r="N95" s="215"/>
    </row>
    <row r="96" spans="1:17">
      <c r="A96" s="560"/>
      <c r="I96" s="560"/>
      <c r="J96" s="216"/>
      <c r="K96" s="215"/>
      <c r="L96" s="215"/>
      <c r="M96" s="215"/>
      <c r="N96" s="215"/>
    </row>
    <row r="97" spans="10:14">
      <c r="J97" s="216"/>
      <c r="K97" s="215"/>
      <c r="L97" s="229"/>
    </row>
    <row r="98" spans="10:14">
      <c r="J98" s="216"/>
      <c r="K98" s="215"/>
      <c r="L98" s="229"/>
      <c r="M98" s="215"/>
      <c r="N98" s="224"/>
    </row>
    <row r="99" spans="10:14">
      <c r="J99" s="215"/>
      <c r="K99" s="229"/>
      <c r="L99" s="560"/>
      <c r="M99" s="560"/>
      <c r="N99" s="560"/>
    </row>
    <row r="100" spans="10:14">
      <c r="J100" s="215"/>
      <c r="K100" s="230"/>
      <c r="L100" s="560"/>
      <c r="M100" s="560"/>
      <c r="N100" s="560"/>
    </row>
    <row r="101" spans="10:14">
      <c r="J101" s="215"/>
      <c r="K101" s="215"/>
      <c r="L101" s="560"/>
      <c r="M101" s="560"/>
      <c r="N101" s="560"/>
    </row>
    <row r="102" spans="10:14">
      <c r="J102" s="215"/>
      <c r="K102" s="215"/>
      <c r="L102" s="560"/>
      <c r="M102" s="560"/>
      <c r="N102" s="560"/>
    </row>
    <row r="103" spans="10:14">
      <c r="J103" s="215"/>
      <c r="L103" s="560"/>
      <c r="M103" s="560"/>
      <c r="N103" s="560"/>
    </row>
    <row r="107" spans="10:14">
      <c r="J107" s="560"/>
      <c r="K107" s="560"/>
      <c r="L107" s="560"/>
      <c r="M107" s="560"/>
      <c r="N107" s="560"/>
    </row>
    <row r="108" spans="10:14">
      <c r="J108" s="560"/>
      <c r="K108" s="560"/>
      <c r="L108" s="560"/>
      <c r="M108" s="560"/>
      <c r="N108" s="560"/>
    </row>
    <row r="109" spans="10:14">
      <c r="J109" s="560"/>
      <c r="K109" s="560"/>
      <c r="L109" s="560"/>
      <c r="M109" s="560"/>
      <c r="N109" s="560"/>
    </row>
    <row r="110" spans="10:14">
      <c r="J110" s="560"/>
      <c r="K110" s="560"/>
      <c r="L110" s="560"/>
      <c r="M110" s="560"/>
      <c r="N110" s="560"/>
    </row>
  </sheetData>
  <customSheetViews>
    <customSheetView guid="{83D69B98-1714-4D17-901F-87B47BE66947}" scale="90" showGridLines="0" printArea="1">
      <selection activeCell="F30" sqref="F30"/>
      <rowBreaks count="1" manualBreakCount="1">
        <brk id="60" max="14" man="1"/>
      </rowBreaks>
      <pageMargins left="0.6" right="0.25" top="0.6" bottom="0" header="0.5" footer="0.25"/>
      <printOptions horizontalCentered="1"/>
      <pageSetup scale="66" firstPageNumber="4" orientation="landscape" useFirstPageNumber="1" r:id="rId1"/>
      <headerFooter scaleWithDoc="0" alignWithMargins="0">
        <oddFooter>&amp;C&amp;8&amp;P</oddFooter>
      </headerFooter>
    </customSheetView>
    <customSheetView guid="{F9AE1502-86F7-4AAA-AE66-F6A75A634C1B}"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2"/>
      <headerFooter scaleWithDoc="0" alignWithMargins="0">
        <oddFooter>&amp;C&amp;8&amp;P</oddFooter>
      </headerFooter>
    </customSheetView>
    <customSheetView guid="{C41E3923-0A88-49D0-AE43-0E74D386A056}"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3"/>
      <headerFooter scaleWithDoc="0" alignWithMargins="0">
        <oddFooter>&amp;C&amp;8&amp;P</oddFooter>
      </headerFooter>
    </customSheetView>
    <customSheetView guid="{1DF171D7-3BFC-49F6-B708-0F91FCFAB6E2}"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4"/>
      <headerFooter scaleWithDoc="0" alignWithMargins="0">
        <oddFooter>&amp;C&amp;8&amp;P</oddFooter>
      </headerFooter>
    </customSheetView>
    <customSheetView guid="{9F00D83C-7F4F-41B5-9976-8610D9EBC976}"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5"/>
      <headerFooter scaleWithDoc="0" alignWithMargins="0">
        <oddFooter>&amp;C&amp;8&amp;P</oddFooter>
      </headerFooter>
    </customSheetView>
    <customSheetView guid="{D1467C25-646C-4F1A-9353-0E890E575522}" scale="90" showGridLines="0" printArea="1" topLeftCell="A4">
      <selection activeCell="B62" sqref="B62"/>
      <rowBreaks count="1" manualBreakCount="1">
        <brk id="60" max="14" man="1"/>
      </rowBreaks>
      <pageMargins left="0.6" right="0.25" top="0.6" bottom="0" header="0.5" footer="0.25"/>
      <printOptions horizontalCentered="1"/>
      <pageSetup scale="66" firstPageNumber="4" orientation="landscape" useFirstPageNumber="1" r:id="rId6"/>
      <headerFooter scaleWithDoc="0" alignWithMargins="0">
        <oddFooter>&amp;C&amp;8&amp;P</oddFooter>
      </headerFooter>
    </customSheetView>
    <customSheetView guid="{3A50DD26-AAF5-43D4-97DE-BAE3367A2F29}" scale="90" showGridLines="0" printArea="1" topLeftCell="A8">
      <selection activeCell="O30" sqref="O30"/>
      <rowBreaks count="1" manualBreakCount="1">
        <brk id="60" max="14" man="1"/>
      </rowBreaks>
      <pageMargins left="0.6" right="0.25" top="0.6" bottom="0" header="0.5" footer="0.25"/>
      <printOptions horizontalCentered="1"/>
      <pageSetup scale="66" firstPageNumber="4" orientation="landscape" useFirstPageNumber="1" r:id="rId7"/>
      <headerFooter scaleWithDoc="0" alignWithMargins="0">
        <oddFooter>&amp;C&amp;8&amp;P</oddFooter>
      </headerFooter>
    </customSheetView>
    <customSheetView guid="{C3636880-B45B-4897-94F2-F91976416934}" scale="90" showGridLines="0" printArea="1" topLeftCell="A8">
      <selection activeCell="H38" sqref="H38"/>
      <rowBreaks count="1" manualBreakCount="1">
        <brk id="60" max="14" man="1"/>
      </rowBreaks>
      <pageMargins left="0.6" right="0.25" top="0.6" bottom="0" header="0.5" footer="0.25"/>
      <printOptions horizontalCentered="1"/>
      <pageSetup scale="66" firstPageNumber="4" orientation="landscape" useFirstPageNumber="1" r:id="rId8"/>
      <headerFooter scaleWithDoc="0" alignWithMargins="0">
        <oddFooter>&amp;C&amp;8&amp;P</oddFooter>
      </headerFooter>
    </customSheetView>
  </customSheetViews>
  <printOptions horizontalCentered="1"/>
  <pageMargins left="0.6" right="0.25" top="0.6" bottom="0" header="0.5" footer="0.25"/>
  <pageSetup scale="66" firstPageNumber="4" orientation="landscape" useFirstPageNumber="1" r:id="rId9"/>
  <headerFooter scaleWithDoc="0" alignWithMargins="0">
    <oddFooter>&amp;C&amp;8&amp;P</oddFooter>
  </headerFooter>
  <rowBreaks count="1" manualBreakCount="1">
    <brk id="60" max="14" man="1"/>
  </rowBreaks>
  <customProperties>
    <customPr name="SheetOptions" r:id="rId10"/>
  </customPropertie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workbookViewId="0"/>
  </sheetViews>
  <sheetFormatPr defaultColWidth="8.88671875" defaultRowHeight="15"/>
  <cols>
    <col min="1" max="1" width="1.88671875" style="440" customWidth="1"/>
    <col min="2" max="2" width="48" style="440" customWidth="1"/>
    <col min="3" max="3" width="4.5546875" style="441" customWidth="1"/>
    <col min="4" max="4" width="19" style="441" customWidth="1"/>
    <col min="5" max="5" width="1.88671875" style="441" customWidth="1"/>
    <col min="6" max="6" width="19" style="441" customWidth="1"/>
    <col min="7" max="7" width="1.6640625" style="441" customWidth="1"/>
    <col min="8" max="8" width="19" style="441" customWidth="1"/>
    <col min="9" max="10" width="1.88671875" style="441" customWidth="1"/>
    <col min="11" max="11" width="19" style="441" customWidth="1"/>
    <col min="12" max="12" width="8.88671875" style="441"/>
    <col min="13" max="13" width="10.109375" style="441" customWidth="1"/>
    <col min="14" max="14" width="1.88671875" style="441" customWidth="1"/>
    <col min="15" max="16384" width="8.88671875" style="440"/>
  </cols>
  <sheetData>
    <row r="1" spans="1:39">
      <c r="B1" s="265" t="s">
        <v>97</v>
      </c>
    </row>
    <row r="3" spans="1:39" ht="18">
      <c r="K3" s="505" t="s">
        <v>1033</v>
      </c>
    </row>
    <row r="4" spans="1:39" s="444" customFormat="1" ht="18.75" customHeight="1">
      <c r="A4" s="442"/>
      <c r="B4" s="506" t="s">
        <v>940</v>
      </c>
      <c r="C4" s="510"/>
      <c r="D4" s="510"/>
      <c r="E4" s="510"/>
      <c r="F4" s="510"/>
      <c r="G4" s="510"/>
      <c r="H4" s="510"/>
      <c r="I4" s="455"/>
      <c r="J4" s="507"/>
      <c r="K4" s="510"/>
      <c r="L4" s="443"/>
      <c r="M4" s="443"/>
      <c r="N4" s="443"/>
    </row>
    <row r="5" spans="1:39" s="444" customFormat="1" ht="18.75" customHeight="1">
      <c r="A5" s="442"/>
      <c r="B5" s="506" t="s">
        <v>1034</v>
      </c>
      <c r="C5" s="445"/>
      <c r="D5" s="445"/>
      <c r="E5" s="445"/>
      <c r="F5" s="445"/>
      <c r="G5" s="445"/>
      <c r="H5" s="445"/>
      <c r="I5" s="506"/>
      <c r="J5" s="506"/>
      <c r="K5" s="445"/>
      <c r="L5" s="443"/>
      <c r="M5" s="443"/>
      <c r="N5" s="443"/>
    </row>
    <row r="6" spans="1:39" s="444" customFormat="1" ht="18.75" customHeight="1">
      <c r="A6" s="442"/>
      <c r="B6" s="506" t="str">
        <f>'Public Goods '!A6</f>
        <v>FISCAL YEAR 2026-2027</v>
      </c>
      <c r="C6" s="510"/>
      <c r="D6" s="510"/>
      <c r="E6" s="510"/>
      <c r="F6" s="510"/>
      <c r="G6" s="510"/>
      <c r="H6" s="510"/>
      <c r="I6" s="663"/>
      <c r="J6" s="506"/>
      <c r="K6" s="510"/>
      <c r="L6" s="443"/>
      <c r="M6" s="443"/>
      <c r="N6" s="443"/>
    </row>
    <row r="7" spans="1:39" s="444" customFormat="1" ht="18" customHeight="1">
      <c r="A7" s="442"/>
      <c r="B7" s="665"/>
      <c r="C7" s="511"/>
      <c r="D7" s="511"/>
      <c r="E7" s="511"/>
      <c r="F7" s="511"/>
      <c r="G7" s="511"/>
      <c r="H7" s="511"/>
      <c r="I7" s="664"/>
      <c r="J7" s="508"/>
      <c r="K7" s="511"/>
      <c r="L7" s="443"/>
      <c r="M7" s="443"/>
      <c r="N7" s="443"/>
    </row>
    <row r="8" spans="1:39" s="444" customFormat="1" ht="18" customHeight="1">
      <c r="A8" s="442"/>
      <c r="B8" s="665"/>
      <c r="C8" s="446"/>
      <c r="D8" s="446"/>
      <c r="E8" s="446"/>
      <c r="F8" s="446"/>
      <c r="G8" s="446"/>
      <c r="H8" s="446"/>
      <c r="I8" s="466"/>
      <c r="J8" s="509"/>
      <c r="K8" s="446"/>
      <c r="L8" s="443"/>
      <c r="M8" s="443"/>
      <c r="N8" s="443"/>
    </row>
    <row r="9" spans="1:39" s="449" customFormat="1" ht="15.75">
      <c r="A9" s="447"/>
      <c r="B9" s="447"/>
      <c r="C9" s="448"/>
      <c r="D9" s="581">
        <v>2026</v>
      </c>
      <c r="E9" s="581"/>
      <c r="F9" s="581">
        <v>2026</v>
      </c>
      <c r="G9" s="581"/>
      <c r="H9" s="581">
        <v>2026</v>
      </c>
      <c r="I9" s="581"/>
      <c r="J9" s="448"/>
      <c r="K9" s="448"/>
      <c r="L9" s="448"/>
      <c r="M9" s="448"/>
      <c r="N9" s="448"/>
    </row>
    <row r="10" spans="1:39" ht="15.75">
      <c r="D10" s="1248" t="s">
        <v>329</v>
      </c>
      <c r="E10" s="450"/>
      <c r="F10" s="1248" t="s">
        <v>330</v>
      </c>
      <c r="G10" s="450"/>
      <c r="H10" s="1248" t="s">
        <v>331</v>
      </c>
      <c r="I10" s="450"/>
      <c r="K10" s="450" t="str">
        <f>'Public Goods '!K10</f>
        <v>2026-2027</v>
      </c>
    </row>
    <row r="11" spans="1:39">
      <c r="K11" s="622"/>
    </row>
    <row r="12" spans="1:39" s="449" customFormat="1" ht="15.75">
      <c r="B12" s="449" t="s">
        <v>914</v>
      </c>
      <c r="C12" s="448"/>
      <c r="D12" s="451">
        <v>2378.48</v>
      </c>
      <c r="E12" s="451"/>
      <c r="F12" s="451">
        <f>D48</f>
        <v>0</v>
      </c>
      <c r="G12" s="451"/>
      <c r="H12" s="451">
        <f>F48</f>
        <v>0</v>
      </c>
      <c r="I12" s="451"/>
      <c r="J12" s="467"/>
      <c r="K12" s="451">
        <f>D12</f>
        <v>2378.48</v>
      </c>
      <c r="L12" s="448"/>
      <c r="M12" s="448"/>
      <c r="N12" s="448"/>
      <c r="O12" s="452"/>
      <c r="P12" s="452"/>
      <c r="Q12" s="452"/>
      <c r="R12" s="452"/>
      <c r="S12" s="452"/>
      <c r="T12" s="452"/>
      <c r="U12" s="452"/>
      <c r="V12" s="452"/>
      <c r="W12" s="452"/>
      <c r="X12" s="452"/>
      <c r="Y12" s="452"/>
      <c r="Z12" s="453"/>
      <c r="AA12" s="453"/>
      <c r="AB12" s="453"/>
      <c r="AC12" s="453"/>
      <c r="AD12" s="453"/>
      <c r="AE12" s="453"/>
      <c r="AF12" s="453"/>
      <c r="AG12" s="453"/>
      <c r="AH12" s="453"/>
      <c r="AI12" s="453"/>
      <c r="AJ12" s="453"/>
      <c r="AK12" s="453"/>
      <c r="AL12" s="453"/>
      <c r="AM12" s="453"/>
    </row>
    <row r="13" spans="1:39" s="449" customFormat="1" ht="15.75">
      <c r="C13" s="448"/>
      <c r="D13" s="451"/>
      <c r="E13" s="451"/>
      <c r="F13" s="451"/>
      <c r="G13" s="451"/>
      <c r="H13" s="451"/>
      <c r="I13" s="451"/>
      <c r="J13" s="468"/>
      <c r="K13" s="451"/>
      <c r="L13" s="448"/>
      <c r="M13" s="448"/>
      <c r="N13" s="448"/>
      <c r="O13" s="452"/>
      <c r="P13" s="452"/>
      <c r="Q13" s="452"/>
      <c r="R13" s="452"/>
      <c r="S13" s="452"/>
      <c r="T13" s="452"/>
      <c r="U13" s="452"/>
      <c r="V13" s="452"/>
      <c r="W13" s="452"/>
      <c r="X13" s="452"/>
      <c r="Y13" s="452"/>
      <c r="Z13" s="453"/>
      <c r="AA13" s="453"/>
      <c r="AB13" s="453"/>
      <c r="AC13" s="453"/>
      <c r="AD13" s="453"/>
      <c r="AE13" s="453"/>
      <c r="AF13" s="453"/>
      <c r="AG13" s="453"/>
      <c r="AH13" s="453"/>
      <c r="AI13" s="453"/>
      <c r="AJ13" s="453"/>
      <c r="AK13" s="453"/>
      <c r="AL13" s="453"/>
      <c r="AM13" s="453"/>
    </row>
    <row r="14" spans="1:39" ht="15.75">
      <c r="B14" s="449" t="s">
        <v>114</v>
      </c>
      <c r="J14" s="469"/>
    </row>
    <row r="15" spans="1:39">
      <c r="B15" s="445" t="s">
        <v>1011</v>
      </c>
      <c r="D15" s="454">
        <v>0</v>
      </c>
      <c r="E15" s="454"/>
      <c r="F15" s="454">
        <v>0</v>
      </c>
      <c r="G15" s="454"/>
      <c r="H15" s="454">
        <v>0</v>
      </c>
      <c r="I15" s="454"/>
      <c r="J15" s="469"/>
      <c r="K15" s="454">
        <f>ROUND(SUM(D15:I15),2)</f>
        <v>0</v>
      </c>
    </row>
    <row r="16" spans="1:39" s="449" customFormat="1" ht="15.75">
      <c r="B16" s="449" t="s">
        <v>427</v>
      </c>
      <c r="C16" s="448"/>
      <c r="D16" s="623">
        <f>ROUND(SUM(D15:D15),2)</f>
        <v>0</v>
      </c>
      <c r="E16" s="472"/>
      <c r="F16" s="623">
        <f>ROUND(SUM(F15:F15),2)</f>
        <v>0</v>
      </c>
      <c r="G16" s="472"/>
      <c r="H16" s="623">
        <f>ROUND(SUM(H15:H15),2)</f>
        <v>0</v>
      </c>
      <c r="I16" s="472"/>
      <c r="J16" s="469"/>
      <c r="K16" s="623">
        <f>ROUND(SUM(K15:K15),2)</f>
        <v>0</v>
      </c>
      <c r="L16" s="448"/>
      <c r="M16" s="441"/>
      <c r="N16" s="448"/>
    </row>
    <row r="17" spans="2:14">
      <c r="D17" s="454"/>
      <c r="E17" s="454"/>
      <c r="F17" s="454"/>
      <c r="G17" s="454"/>
      <c r="H17" s="454"/>
      <c r="I17" s="454"/>
      <c r="J17" s="469"/>
      <c r="K17" s="624"/>
    </row>
    <row r="18" spans="2:14" ht="15.75">
      <c r="B18" s="449" t="s">
        <v>1035</v>
      </c>
      <c r="D18" s="454"/>
      <c r="E18" s="454"/>
      <c r="F18" s="454"/>
      <c r="G18" s="454"/>
      <c r="H18" s="454"/>
      <c r="I18" s="454"/>
      <c r="J18" s="469"/>
      <c r="K18" s="454"/>
    </row>
    <row r="19" spans="2:14">
      <c r="B19" s="445" t="s">
        <v>1036</v>
      </c>
      <c r="D19" s="454">
        <v>0</v>
      </c>
      <c r="E19" s="454"/>
      <c r="F19" s="454">
        <v>0</v>
      </c>
      <c r="G19" s="454"/>
      <c r="H19" s="454">
        <v>0</v>
      </c>
      <c r="I19" s="454"/>
      <c r="J19" s="469"/>
      <c r="K19" s="454">
        <f>ROUND(SUM(D19:I19),2)</f>
        <v>0</v>
      </c>
    </row>
    <row r="20" spans="2:14">
      <c r="B20" s="445" t="s">
        <v>1037</v>
      </c>
      <c r="D20" s="454">
        <v>0</v>
      </c>
      <c r="E20" s="454"/>
      <c r="F20" s="454">
        <v>0</v>
      </c>
      <c r="G20" s="454"/>
      <c r="H20" s="454">
        <v>0</v>
      </c>
      <c r="I20" s="454"/>
      <c r="J20" s="469"/>
      <c r="K20" s="454">
        <f>ROUND(SUM(D20:I20),2)</f>
        <v>0</v>
      </c>
    </row>
    <row r="21" spans="2:14">
      <c r="B21" s="445" t="s">
        <v>1038</v>
      </c>
      <c r="D21" s="454">
        <v>0</v>
      </c>
      <c r="E21" s="454"/>
      <c r="F21" s="454">
        <v>0</v>
      </c>
      <c r="G21" s="454"/>
      <c r="H21" s="454">
        <v>0</v>
      </c>
      <c r="I21" s="454"/>
      <c r="J21" s="470"/>
      <c r="K21" s="454">
        <f>ROUND(SUM(D21:I21),2)</f>
        <v>0</v>
      </c>
    </row>
    <row r="22" spans="2:14" s="449" customFormat="1" ht="15.75">
      <c r="B22" s="455" t="s">
        <v>1039</v>
      </c>
      <c r="C22" s="448"/>
      <c r="D22" s="625">
        <f>ROUND(SUM(D18:D21),2)</f>
        <v>0</v>
      </c>
      <c r="E22" s="472"/>
      <c r="F22" s="625">
        <f>ROUND(SUM(F18:F21),2)</f>
        <v>0</v>
      </c>
      <c r="G22" s="472"/>
      <c r="H22" s="625">
        <f>ROUND(SUM(H18:H21),2)</f>
        <v>0</v>
      </c>
      <c r="I22" s="472"/>
      <c r="J22" s="471"/>
      <c r="K22" s="625">
        <f>ROUND(SUM(K18:K21),2)</f>
        <v>0</v>
      </c>
      <c r="L22" s="448"/>
      <c r="M22" s="441"/>
      <c r="N22" s="448"/>
    </row>
    <row r="23" spans="2:14">
      <c r="B23" s="456"/>
      <c r="D23" s="624"/>
      <c r="E23" s="454"/>
      <c r="F23" s="624"/>
      <c r="G23" s="454"/>
      <c r="H23" s="624"/>
      <c r="I23" s="454"/>
      <c r="J23" s="469"/>
      <c r="K23" s="624"/>
    </row>
    <row r="24" spans="2:14" s="449" customFormat="1" ht="15.75">
      <c r="B24" s="449" t="s">
        <v>1040</v>
      </c>
      <c r="C24" s="448"/>
      <c r="D24" s="457">
        <f>ROUND(+D16+D22,2)</f>
        <v>0</v>
      </c>
      <c r="E24" s="457"/>
      <c r="F24" s="457">
        <f>ROUND(+F16+F22,2)</f>
        <v>0</v>
      </c>
      <c r="G24" s="457"/>
      <c r="H24" s="457">
        <f>ROUND(+H16+H22,2)</f>
        <v>0</v>
      </c>
      <c r="I24" s="457"/>
      <c r="J24" s="469"/>
      <c r="K24" s="457">
        <f>ROUND(+K16+K22,2)</f>
        <v>0</v>
      </c>
      <c r="L24" s="448"/>
      <c r="M24" s="441"/>
      <c r="N24" s="448"/>
    </row>
    <row r="25" spans="2:14">
      <c r="D25" s="624"/>
      <c r="E25" s="454"/>
      <c r="F25" s="624"/>
      <c r="G25" s="454"/>
      <c r="H25" s="624"/>
      <c r="I25" s="454"/>
      <c r="J25" s="469"/>
      <c r="K25" s="624"/>
    </row>
    <row r="26" spans="2:14" ht="15.75">
      <c r="B26" s="449" t="s">
        <v>145</v>
      </c>
      <c r="D26" s="454"/>
      <c r="E26" s="454"/>
      <c r="F26" s="454"/>
      <c r="G26" s="454"/>
      <c r="H26" s="454"/>
      <c r="I26" s="454"/>
      <c r="J26" s="469"/>
      <c r="K26" s="454"/>
    </row>
    <row r="27" spans="2:14" ht="15.75">
      <c r="B27" s="449" t="s">
        <v>1019</v>
      </c>
      <c r="D27" s="454"/>
      <c r="E27" s="454"/>
      <c r="F27" s="454"/>
      <c r="G27" s="454"/>
      <c r="H27" s="454"/>
      <c r="I27" s="454"/>
      <c r="J27" s="470"/>
      <c r="K27" s="454"/>
    </row>
    <row r="28" spans="2:14" ht="15.75">
      <c r="B28" s="445" t="s">
        <v>1041</v>
      </c>
      <c r="D28" s="454">
        <v>0</v>
      </c>
      <c r="E28" s="454"/>
      <c r="F28" s="454">
        <v>0</v>
      </c>
      <c r="G28" s="454"/>
      <c r="H28" s="454">
        <v>0</v>
      </c>
      <c r="I28" s="454"/>
      <c r="J28" s="471"/>
      <c r="K28" s="454">
        <f>ROUND(SUM(D28:I28),2)</f>
        <v>0</v>
      </c>
    </row>
    <row r="29" spans="2:14">
      <c r="B29" s="445" t="s">
        <v>1026</v>
      </c>
      <c r="D29" s="454">
        <v>0</v>
      </c>
      <c r="E29" s="454"/>
      <c r="F29" s="454">
        <v>0</v>
      </c>
      <c r="G29" s="454"/>
      <c r="H29" s="454">
        <v>0</v>
      </c>
      <c r="I29" s="454"/>
      <c r="J29" s="469"/>
      <c r="K29" s="454">
        <f>ROUND(SUM(D29:I29),2)</f>
        <v>0</v>
      </c>
    </row>
    <row r="30" spans="2:14" ht="15.75">
      <c r="B30" s="449" t="s">
        <v>1022</v>
      </c>
      <c r="D30" s="454"/>
      <c r="E30" s="454"/>
      <c r="F30" s="454"/>
      <c r="G30" s="454"/>
      <c r="H30" s="454"/>
      <c r="I30" s="454"/>
      <c r="J30" s="474"/>
      <c r="K30" s="454"/>
    </row>
    <row r="31" spans="2:14">
      <c r="B31" s="445" t="s">
        <v>1042</v>
      </c>
      <c r="D31" s="454">
        <v>0</v>
      </c>
      <c r="E31" s="454"/>
      <c r="F31" s="454">
        <v>0</v>
      </c>
      <c r="G31" s="454"/>
      <c r="H31" s="454">
        <v>0</v>
      </c>
      <c r="I31" s="454"/>
      <c r="J31" s="469"/>
      <c r="K31" s="454">
        <f>ROUND(SUM(D31:I31),2)</f>
        <v>0</v>
      </c>
    </row>
    <row r="32" spans="2:14">
      <c r="B32" s="445" t="s">
        <v>1043</v>
      </c>
      <c r="D32" s="454">
        <v>0</v>
      </c>
      <c r="E32" s="454"/>
      <c r="F32" s="454">
        <v>0</v>
      </c>
      <c r="G32" s="454"/>
      <c r="H32" s="454">
        <v>0</v>
      </c>
      <c r="I32" s="454"/>
      <c r="J32" s="469"/>
      <c r="K32" s="454">
        <f>ROUND(SUM(D32:I32),2)</f>
        <v>0</v>
      </c>
    </row>
    <row r="33" spans="2:44">
      <c r="B33" s="445" t="s">
        <v>1044</v>
      </c>
      <c r="D33" s="454">
        <v>0</v>
      </c>
      <c r="E33" s="454"/>
      <c r="F33" s="454">
        <v>0</v>
      </c>
      <c r="G33" s="454"/>
      <c r="H33" s="454">
        <v>0</v>
      </c>
      <c r="I33" s="454"/>
      <c r="J33" s="469"/>
      <c r="K33" s="454">
        <f>ROUND(SUM(D33:I33),2)</f>
        <v>0</v>
      </c>
    </row>
    <row r="34" spans="2:44">
      <c r="B34" s="445" t="s">
        <v>1038</v>
      </c>
      <c r="D34" s="1252">
        <v>0</v>
      </c>
      <c r="E34" s="454"/>
      <c r="F34" s="1252">
        <v>0</v>
      </c>
      <c r="G34" s="454"/>
      <c r="H34" s="1252">
        <v>0</v>
      </c>
      <c r="I34" s="454"/>
      <c r="J34" s="469"/>
      <c r="K34" s="454">
        <f>ROUND(SUM(D34:D34),2)</f>
        <v>0</v>
      </c>
    </row>
    <row r="35" spans="2:44" s="449" customFormat="1" ht="15.75">
      <c r="B35" s="449" t="s">
        <v>1024</v>
      </c>
      <c r="C35" s="448"/>
      <c r="D35" s="626">
        <f>ROUND(SUM(D28:D34),2)</f>
        <v>0</v>
      </c>
      <c r="E35" s="472"/>
      <c r="F35" s="626">
        <f>ROUND(SUM(F28:F34),2)</f>
        <v>0</v>
      </c>
      <c r="G35" s="472"/>
      <c r="H35" s="626">
        <f>ROUND(SUM(H28:H34),2)</f>
        <v>0</v>
      </c>
      <c r="I35" s="472"/>
      <c r="J35" s="469"/>
      <c r="K35" s="626">
        <f>ROUND(SUM(K28:K34),2)</f>
        <v>0</v>
      </c>
      <c r="L35" s="448"/>
      <c r="M35" s="441"/>
      <c r="N35" s="448"/>
    </row>
    <row r="36" spans="2:44">
      <c r="D36" s="454"/>
      <c r="E36" s="454"/>
      <c r="F36" s="454"/>
      <c r="G36" s="454"/>
      <c r="H36" s="454"/>
      <c r="I36" s="454"/>
      <c r="J36" s="469"/>
      <c r="K36" s="454"/>
    </row>
    <row r="37" spans="2:44" ht="15.75">
      <c r="B37" s="449" t="s">
        <v>1025</v>
      </c>
      <c r="D37" s="454"/>
      <c r="E37" s="454"/>
      <c r="F37" s="454"/>
      <c r="G37" s="454"/>
      <c r="H37" s="454"/>
      <c r="I37" s="454"/>
      <c r="J37" s="469"/>
      <c r="K37" s="454"/>
    </row>
    <row r="38" spans="2:44" ht="15.75">
      <c r="B38" s="440" t="s">
        <v>1041</v>
      </c>
      <c r="D38" s="458">
        <v>0</v>
      </c>
      <c r="E38" s="458"/>
      <c r="F38" s="458">
        <v>0</v>
      </c>
      <c r="G38" s="458"/>
      <c r="H38" s="458">
        <v>0</v>
      </c>
      <c r="I38" s="458"/>
      <c r="J38" s="471"/>
      <c r="K38" s="454">
        <f>ROUND(SUM(D38:I38),2)</f>
        <v>0</v>
      </c>
    </row>
    <row r="39" spans="2:44">
      <c r="B39" s="440" t="s">
        <v>1026</v>
      </c>
      <c r="D39" s="454">
        <v>0</v>
      </c>
      <c r="E39" s="454"/>
      <c r="F39" s="454">
        <v>0</v>
      </c>
      <c r="G39" s="454"/>
      <c r="H39" s="454">
        <v>0</v>
      </c>
      <c r="I39" s="454"/>
      <c r="J39" s="469"/>
      <c r="K39" s="454">
        <f>ROUND(SUM(D39:I39),2)</f>
        <v>0</v>
      </c>
    </row>
    <row r="40" spans="2:44" ht="15.75">
      <c r="B40" s="449" t="s">
        <v>1027</v>
      </c>
      <c r="D40" s="454"/>
      <c r="E40" s="454"/>
      <c r="F40" s="454"/>
      <c r="G40" s="454"/>
      <c r="H40" s="454"/>
      <c r="I40" s="454"/>
      <c r="J40" s="469"/>
      <c r="K40" s="454"/>
    </row>
    <row r="41" spans="2:44">
      <c r="B41" s="445" t="s">
        <v>1045</v>
      </c>
      <c r="D41" s="454">
        <v>-2378.48</v>
      </c>
      <c r="E41" s="454"/>
      <c r="F41" s="454">
        <v>0</v>
      </c>
      <c r="G41" s="454"/>
      <c r="H41" s="454">
        <v>0</v>
      </c>
      <c r="I41" s="454"/>
      <c r="J41" s="469"/>
      <c r="K41" s="454">
        <f>ROUND(SUM(D41:I41),2)</f>
        <v>-2378.48</v>
      </c>
    </row>
    <row r="42" spans="2:44">
      <c r="B42" s="937" t="s">
        <v>1046</v>
      </c>
      <c r="D42" s="1252">
        <v>0</v>
      </c>
      <c r="E42" s="454"/>
      <c r="F42" s="1252">
        <v>0</v>
      </c>
      <c r="G42" s="454"/>
      <c r="H42" s="1252">
        <v>0</v>
      </c>
      <c r="I42" s="454"/>
      <c r="J42" s="469"/>
      <c r="K42" s="454">
        <f>ROUND(SUM(D42:I42),2)</f>
        <v>0</v>
      </c>
    </row>
    <row r="43" spans="2:44" s="449" customFormat="1" ht="15.75">
      <c r="B43" s="449" t="s">
        <v>1028</v>
      </c>
      <c r="C43" s="448"/>
      <c r="D43" s="626">
        <f>SUM(D38:D42)</f>
        <v>-2378.48</v>
      </c>
      <c r="E43" s="472"/>
      <c r="F43" s="626">
        <f>SUM(F38:F42)</f>
        <v>0</v>
      </c>
      <c r="G43" s="472"/>
      <c r="H43" s="626">
        <f>SUM(H38:H42)</f>
        <v>0</v>
      </c>
      <c r="I43" s="472"/>
      <c r="J43" s="469"/>
      <c r="K43" s="626">
        <f>SUM(K38:K42)</f>
        <v>-2378.48</v>
      </c>
      <c r="L43" s="448"/>
      <c r="M43" s="441"/>
      <c r="N43" s="448"/>
    </row>
    <row r="44" spans="2:44">
      <c r="D44" s="454"/>
      <c r="E44" s="454"/>
      <c r="F44" s="454"/>
      <c r="G44" s="454"/>
      <c r="H44" s="454"/>
      <c r="I44" s="454"/>
      <c r="J44" s="469"/>
      <c r="K44" s="454"/>
    </row>
    <row r="45" spans="2:44" ht="15.75">
      <c r="B45" s="449" t="s">
        <v>1047</v>
      </c>
      <c r="D45" s="454"/>
      <c r="E45" s="454"/>
      <c r="F45" s="454"/>
      <c r="G45" s="454"/>
      <c r="H45" s="454"/>
      <c r="I45" s="454"/>
      <c r="J45" s="469"/>
      <c r="K45" s="454"/>
    </row>
    <row r="46" spans="2:44" ht="15.75">
      <c r="B46" s="449" t="s">
        <v>1048</v>
      </c>
      <c r="D46" s="1253">
        <f>ROUND(+D24+D35+D43,2)</f>
        <v>-2378.48</v>
      </c>
      <c r="E46" s="457"/>
      <c r="F46" s="1253">
        <f>ROUND(+F24+F35+F43,2)</f>
        <v>0</v>
      </c>
      <c r="G46" s="457"/>
      <c r="H46" s="1253">
        <f>ROUND(+H24+H35+H43,2)</f>
        <v>0</v>
      </c>
      <c r="I46" s="457"/>
      <c r="J46" s="469"/>
      <c r="K46" s="1088">
        <f>ROUND(+K24+K35+K43,2)</f>
        <v>-2378.48</v>
      </c>
    </row>
    <row r="47" spans="2:44" ht="15.75">
      <c r="J47" s="471"/>
      <c r="K47" s="459"/>
    </row>
    <row r="48" spans="2:44" s="449" customFormat="1" ht="16.5" thickBot="1">
      <c r="B48" s="449" t="s">
        <v>1031</v>
      </c>
      <c r="C48" s="460"/>
      <c r="D48" s="1254">
        <f>ROUND(D12+D46,2)</f>
        <v>0</v>
      </c>
      <c r="E48" s="1331"/>
      <c r="F48" s="1254">
        <f>ROUND(F12+F46,2)</f>
        <v>0</v>
      </c>
      <c r="G48" s="1331"/>
      <c r="H48" s="1254">
        <f>ROUND(H12+H46,2)</f>
        <v>0</v>
      </c>
      <c r="I48" s="1331"/>
      <c r="J48" s="469"/>
      <c r="K48" s="1089">
        <f>ROUND(K12+K46,2)</f>
        <v>0</v>
      </c>
      <c r="L48" s="448"/>
      <c r="M48" s="441"/>
      <c r="N48" s="448"/>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row>
    <row r="49" spans="2:10" ht="15.75" thickTop="1">
      <c r="B49" s="440" t="s">
        <v>103</v>
      </c>
      <c r="I49" s="454"/>
      <c r="J49" s="454"/>
    </row>
    <row r="50" spans="2:10" ht="15.75">
      <c r="B50" s="445" t="s">
        <v>1032</v>
      </c>
      <c r="I50" s="472"/>
      <c r="J50" s="472"/>
    </row>
    <row r="51" spans="2:10">
      <c r="B51" s="456"/>
    </row>
    <row r="52" spans="2:10" ht="15.75">
      <c r="I52" s="451"/>
      <c r="J52" s="451"/>
    </row>
    <row r="59" spans="2:10" ht="15.75">
      <c r="B59" s="462"/>
      <c r="C59" s="448"/>
      <c r="D59" s="448"/>
      <c r="E59" s="448"/>
      <c r="F59" s="448"/>
      <c r="G59" s="448"/>
      <c r="H59" s="448"/>
    </row>
    <row r="61" spans="2:10" ht="15.75">
      <c r="C61" s="448"/>
    </row>
  </sheetData>
  <customSheetViews>
    <customSheetView guid="{83D69B98-1714-4D17-901F-87B47BE66947}" scale="90" showPageBreaks="1" showGridLines="0" fitToPage="1" printArea="1" topLeftCell="A22">
      <selection activeCell="L53" sqref="L53"/>
      <pageMargins left="0.24" right="0.24" top="0.5" bottom="0.5" header="0.18" footer="0.25"/>
      <printOptions horizontalCentered="1"/>
      <pageSetup scale="67" firstPageNumber="50"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8">
      <selection activeCell="L53" sqref="L53"/>
      <pageMargins left="0.24" right="0.24" top="0.5" bottom="0.5" header="0.18" footer="0.25"/>
      <printOptions horizontalCentered="1"/>
      <pageSetup scale="10" firstPageNumber="50"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8">
      <selection activeCell="L53" sqref="L53"/>
      <pageMargins left="0.24" right="0.24" top="0.5" bottom="0.5" header="0.18" footer="0.25"/>
      <printOptions horizontalCentered="1"/>
      <pageSetup scale="10" firstPageNumber="50"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8">
      <selection activeCell="H11" sqref="H11"/>
      <pageMargins left="0.24" right="0.24" top="0.5" bottom="0.5" header="0.18" footer="0.25"/>
      <printOptions horizontalCentered="1"/>
      <pageSetup scale="68" firstPageNumber="50"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8">
      <selection activeCell="L53" sqref="L53"/>
      <pageMargins left="0.24" right="0.24" top="0.5" bottom="0.5" header="0.18" footer="0.25"/>
      <printOptions horizontalCentered="1"/>
      <pageSetup scale="10" firstPageNumber="50"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5">
      <selection activeCell="L53" sqref="L53"/>
      <pageMargins left="0.24" right="0.24" top="0.5" bottom="0.5" header="0.18" footer="0.25"/>
      <printOptions horizontalCentered="1"/>
      <pageSetup scale="10" firstPageNumber="50" orientation="landscape" useFirstPageNumber="1" r:id="rId6"/>
      <headerFooter scaleWithDoc="0" alignWithMargins="0">
        <oddFooter>&amp;C&amp;8&amp;P</oddFooter>
      </headerFooter>
    </customSheetView>
    <customSheetView guid="{3A50DD26-AAF5-43D4-97DE-BAE3367A2F29}" scale="90" showPageBreaks="1" showGridLines="0" fitToPage="1" printArea="1">
      <selection activeCell="L53" sqref="L53"/>
      <pageMargins left="0.24" right="0.24" top="0.5" bottom="0.5" header="0.18" footer="0.25"/>
      <printOptions horizontalCentered="1"/>
      <pageSetup scale="23" firstPageNumber="50"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8">
      <selection activeCell="L53" sqref="L53"/>
      <pageMargins left="0.24" right="0.24" top="0.5" bottom="0.5" header="0.18" footer="0.25"/>
      <printOptions horizontalCentered="1"/>
      <pageSetup scale="70" firstPageNumber="50" orientation="landscape" useFirstPageNumber="1" r:id="rId8"/>
      <headerFooter scaleWithDoc="0" alignWithMargins="0">
        <oddFooter>&amp;C&amp;8&amp;P</oddFooter>
      </headerFooter>
    </customSheetView>
  </customSheetViews>
  <printOptions horizontalCentered="1"/>
  <pageMargins left="0.24" right="0.24" top="0.5" bottom="0.5" header="0.18" footer="0.25"/>
  <pageSetup scale="70" firstPageNumber="50" orientation="landscape" useFirstPageNumber="1" r:id="rId9"/>
  <headerFooter scaleWithDoc="0" alignWithMargins="0">
    <oddFooter>&amp;C&amp;8&amp;P</oddFooter>
  </headerFooter>
  <customProperties>
    <customPr name="SheetOptions" r:id="rId10"/>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70" workbookViewId="0"/>
  </sheetViews>
  <sheetFormatPr defaultColWidth="8.88671875" defaultRowHeight="12.75"/>
  <cols>
    <col min="1" max="1" width="54.88671875" style="120" customWidth="1"/>
    <col min="2" max="2" width="1.88671875" style="120" customWidth="1"/>
    <col min="3" max="3" width="11.88671875" style="120" customWidth="1"/>
    <col min="4" max="4" width="1.88671875" style="120" customWidth="1"/>
    <col min="5" max="5" width="11.88671875" style="120" customWidth="1"/>
    <col min="6" max="6" width="1.88671875" style="120" customWidth="1"/>
    <col min="7" max="7" width="11.88671875" style="120" customWidth="1"/>
    <col min="8" max="8" width="1.88671875" style="120" customWidth="1"/>
    <col min="9" max="9" width="11.88671875" style="120" customWidth="1"/>
    <col min="10" max="10" width="1.88671875" style="120" customWidth="1"/>
    <col min="11" max="11" width="11.88671875" style="120" customWidth="1"/>
    <col min="12" max="12" width="1.88671875" style="120" customWidth="1"/>
    <col min="13" max="13" width="14.88671875" style="120" customWidth="1"/>
    <col min="14" max="14" width="1.88671875" style="120" customWidth="1"/>
    <col min="15" max="15" width="14" style="120" customWidth="1"/>
    <col min="16" max="16" width="1.88671875" style="120" customWidth="1"/>
    <col min="17" max="17" width="14.88671875" style="120" customWidth="1"/>
    <col min="18" max="18" width="1.88671875" style="120" customWidth="1"/>
    <col min="19" max="19" width="13.5546875" style="120" bestFit="1" customWidth="1"/>
    <col min="20" max="20" width="1.88671875" style="120" customWidth="1"/>
    <col min="21" max="21" width="12.88671875" style="120" customWidth="1"/>
    <col min="22" max="22" width="1.88671875" style="120" customWidth="1"/>
    <col min="23" max="23" width="12.88671875" style="120" customWidth="1"/>
    <col min="24" max="24" width="1.88671875" style="120" customWidth="1"/>
    <col min="25" max="25" width="12.88671875" style="120" customWidth="1"/>
    <col min="26" max="26" width="1.88671875" style="120" customWidth="1"/>
    <col min="27" max="27" width="14.109375" style="121" customWidth="1"/>
    <col min="28" max="28" width="3.88671875" style="120" customWidth="1"/>
    <col min="29" max="29" width="5.88671875" style="120" customWidth="1"/>
    <col min="30" max="30" width="10.109375" style="120" customWidth="1"/>
    <col min="31" max="31" width="2.88671875" style="120" customWidth="1"/>
    <col min="32" max="16384" width="8.88671875" style="120"/>
  </cols>
  <sheetData>
    <row r="1" spans="1:29" ht="15">
      <c r="A1" s="265" t="s">
        <v>97</v>
      </c>
    </row>
    <row r="2" spans="1:29" ht="20.25">
      <c r="A2" s="117"/>
      <c r="B2" s="434"/>
      <c r="C2" s="434"/>
      <c r="D2" s="434"/>
      <c r="E2" s="434"/>
      <c r="F2" s="434"/>
      <c r="G2" s="434"/>
      <c r="H2" s="434"/>
      <c r="I2" s="434"/>
      <c r="J2" s="434"/>
      <c r="K2" s="434"/>
      <c r="L2" s="118"/>
      <c r="M2" s="118"/>
      <c r="N2" s="434"/>
      <c r="O2" s="434"/>
      <c r="P2" s="434"/>
      <c r="Q2" s="434"/>
      <c r="R2" s="434"/>
      <c r="S2" s="434"/>
      <c r="T2" s="434"/>
      <c r="U2" s="434"/>
      <c r="V2" s="434"/>
      <c r="W2" s="434"/>
      <c r="X2" s="434"/>
      <c r="Y2" s="434"/>
      <c r="Z2" s="434"/>
      <c r="AA2" s="435"/>
      <c r="AB2" s="434"/>
      <c r="AC2" s="119"/>
    </row>
    <row r="3" spans="1:29" ht="15">
      <c r="A3"/>
      <c r="B3" s="266"/>
      <c r="C3" s="266"/>
      <c r="D3" s="266"/>
      <c r="E3" s="266"/>
      <c r="F3" s="266"/>
      <c r="G3" s="266"/>
      <c r="H3" s="266"/>
      <c r="I3" s="266"/>
      <c r="J3" s="266"/>
      <c r="K3" s="266"/>
      <c r="L3"/>
      <c r="M3" s="266"/>
      <c r="N3" s="266"/>
      <c r="O3" s="266"/>
      <c r="P3" s="266"/>
      <c r="Q3" s="266"/>
      <c r="R3" s="266"/>
      <c r="S3" s="266"/>
      <c r="T3" s="266"/>
      <c r="U3" s="266"/>
      <c r="V3" s="266"/>
      <c r="W3" s="266"/>
      <c r="X3" s="266"/>
      <c r="Y3" s="266"/>
      <c r="Z3" s="266"/>
      <c r="AA3" s="120"/>
      <c r="AB3" s="434"/>
      <c r="AC3" s="119"/>
    </row>
    <row r="4" spans="1:29" ht="20.25">
      <c r="A4" s="270" t="s">
        <v>98</v>
      </c>
      <c r="B4" s="266"/>
      <c r="C4" s="266"/>
      <c r="D4" s="266"/>
      <c r="E4" s="266"/>
      <c r="F4" s="266"/>
      <c r="G4" s="266"/>
      <c r="H4" s="266"/>
      <c r="I4" s="266"/>
      <c r="J4" s="266"/>
      <c r="K4" s="266"/>
      <c r="L4"/>
      <c r="M4" s="266"/>
      <c r="N4" s="266"/>
      <c r="O4" s="266"/>
      <c r="P4" s="266"/>
      <c r="Q4" s="266"/>
      <c r="R4" s="266"/>
      <c r="S4" s="266"/>
      <c r="T4" s="266"/>
      <c r="U4" s="266"/>
      <c r="V4" s="266"/>
      <c r="W4" s="266"/>
      <c r="X4" s="266"/>
      <c r="Y4" s="266"/>
      <c r="Z4" s="266"/>
      <c r="AA4" s="436" t="s">
        <v>1049</v>
      </c>
      <c r="AB4" s="434"/>
      <c r="AC4" s="119"/>
    </row>
    <row r="5" spans="1:29" s="119" customFormat="1" ht="18">
      <c r="A5" s="270" t="s">
        <v>1050</v>
      </c>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434"/>
    </row>
    <row r="6" spans="1:29" s="119" customFormat="1" ht="18">
      <c r="A6" s="270" t="str">
        <f>'Cashflow Governmental'!A6</f>
        <v>FISCAL YEAR 2026-2027</v>
      </c>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434"/>
    </row>
    <row r="7" spans="1:29" s="119" customFormat="1" ht="18">
      <c r="A7" s="270" t="s">
        <v>1051</v>
      </c>
      <c r="B7" s="1214"/>
      <c r="C7" s="1214"/>
      <c r="D7" s="1214"/>
      <c r="E7" s="1214"/>
      <c r="F7" s="1214"/>
      <c r="G7" s="1214"/>
      <c r="H7" s="1214"/>
      <c r="I7" s="1214"/>
      <c r="J7"/>
      <c r="K7"/>
      <c r="L7"/>
      <c r="M7"/>
      <c r="N7"/>
      <c r="O7"/>
      <c r="P7"/>
      <c r="Q7"/>
      <c r="R7" s="266"/>
      <c r="S7" s="266"/>
      <c r="T7" s="266"/>
      <c r="U7" s="266"/>
      <c r="V7" s="266"/>
      <c r="W7" s="266"/>
      <c r="X7" s="266"/>
      <c r="Y7" s="266"/>
      <c r="Z7" s="266"/>
      <c r="AA7"/>
      <c r="AB7" s="434"/>
    </row>
    <row r="8" spans="1:29" s="119" customFormat="1" ht="15.75">
      <c r="A8" s="267"/>
      <c r="B8" s="1214"/>
      <c r="C8" s="324"/>
      <c r="D8" s="324"/>
      <c r="E8" s="324"/>
      <c r="F8" s="324"/>
      <c r="G8" s="324"/>
      <c r="H8" s="324"/>
      <c r="I8" s="324"/>
      <c r="J8" s="281"/>
      <c r="K8" s="281"/>
      <c r="L8" s="281"/>
      <c r="M8" s="281"/>
      <c r="N8" s="281"/>
      <c r="O8" s="281"/>
      <c r="P8" s="281"/>
      <c r="Q8" s="281"/>
      <c r="R8" s="281"/>
      <c r="S8" s="281"/>
      <c r="T8" s="281"/>
      <c r="U8" s="281"/>
      <c r="V8" s="281"/>
      <c r="W8" s="281"/>
      <c r="X8" s="281"/>
      <c r="Y8" s="281"/>
      <c r="Z8" s="281"/>
      <c r="AA8" s="281"/>
      <c r="AB8" s="434"/>
    </row>
    <row r="9" spans="1:29" s="119" customFormat="1" ht="15.75">
      <c r="A9" s="266"/>
      <c r="B9" s="266"/>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434"/>
    </row>
    <row r="10" spans="1:29" s="119" customFormat="1" ht="18">
      <c r="A10" s="266"/>
      <c r="B10" s="280"/>
      <c r="C10" s="325" t="str">
        <f>'Cashflow Governmental'!C13</f>
        <v>2026</v>
      </c>
      <c r="D10" s="325" t="s">
        <v>103</v>
      </c>
      <c r="E10" s="325" t="str">
        <f>C10</f>
        <v>2026</v>
      </c>
      <c r="F10" s="325" t="s">
        <v>103</v>
      </c>
      <c r="G10" s="325" t="str">
        <f>C10</f>
        <v>2026</v>
      </c>
      <c r="H10" s="325" t="s">
        <v>103</v>
      </c>
      <c r="I10" s="325" t="str">
        <f>C10</f>
        <v>2026</v>
      </c>
      <c r="J10" s="325" t="s">
        <v>103</v>
      </c>
      <c r="K10" s="325" t="str">
        <f>E10</f>
        <v>2026</v>
      </c>
      <c r="L10" s="325" t="s">
        <v>103</v>
      </c>
      <c r="M10" s="325" t="str">
        <f>G10</f>
        <v>2026</v>
      </c>
      <c r="N10" s="325" t="s">
        <v>103</v>
      </c>
      <c r="O10" s="325" t="str">
        <f>I10</f>
        <v>2026</v>
      </c>
      <c r="P10" s="325" t="s">
        <v>103</v>
      </c>
      <c r="Q10" s="325" t="str">
        <f>K10</f>
        <v>2026</v>
      </c>
      <c r="R10" s="325" t="s">
        <v>103</v>
      </c>
      <c r="S10" s="325" t="str">
        <f>M10</f>
        <v>2026</v>
      </c>
      <c r="T10" s="325"/>
      <c r="U10" s="325">
        <f>'Cashflow Governmental'!U13</f>
        <v>2027</v>
      </c>
      <c r="V10" s="325"/>
      <c r="W10" s="325">
        <f>U10</f>
        <v>2027</v>
      </c>
      <c r="X10" s="325"/>
      <c r="Y10" s="325">
        <f>W10</f>
        <v>2027</v>
      </c>
      <c r="Z10" s="270"/>
      <c r="AA10" s="326" t="str">
        <f>'Medicaid Disp Share'!K10</f>
        <v>2026-2027</v>
      </c>
      <c r="AB10" s="437"/>
    </row>
    <row r="11" spans="1:29" s="119" customFormat="1" ht="18">
      <c r="A11" s="266"/>
      <c r="B11" s="280"/>
      <c r="C11" s="1090" t="s">
        <v>329</v>
      </c>
      <c r="D11" s="326"/>
      <c r="E11" s="1090" t="s">
        <v>330</v>
      </c>
      <c r="F11" s="326"/>
      <c r="G11" s="1090" t="s">
        <v>331</v>
      </c>
      <c r="H11" s="326"/>
      <c r="I11" s="1090" t="s">
        <v>332</v>
      </c>
      <c r="J11" s="326"/>
      <c r="K11" s="1090" t="s">
        <v>333</v>
      </c>
      <c r="L11" s="326"/>
      <c r="M11" s="1090" t="s">
        <v>445</v>
      </c>
      <c r="N11" s="326"/>
      <c r="O11" s="1090" t="s">
        <v>446</v>
      </c>
      <c r="P11" s="326"/>
      <c r="Q11" s="1090" t="s">
        <v>336</v>
      </c>
      <c r="R11" s="326"/>
      <c r="S11" s="1090" t="s">
        <v>337</v>
      </c>
      <c r="T11" s="326"/>
      <c r="U11" s="1090" t="s">
        <v>338</v>
      </c>
      <c r="V11" s="326"/>
      <c r="W11" s="1090" t="s">
        <v>339</v>
      </c>
      <c r="X11" s="326"/>
      <c r="Y11" s="1090" t="s">
        <v>447</v>
      </c>
      <c r="Z11" s="270"/>
      <c r="AA11" s="1090" t="s">
        <v>995</v>
      </c>
      <c r="AB11" s="434"/>
    </row>
    <row r="12" spans="1:29" s="119" customFormat="1" ht="18">
      <c r="A12"/>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619"/>
      <c r="AC12" s="620"/>
    </row>
    <row r="13" spans="1:29" s="119" customFormat="1" ht="18">
      <c r="A13" s="281" t="s">
        <v>1052</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619"/>
      <c r="AC13" s="621"/>
    </row>
    <row r="14" spans="1:29" s="119" customFormat="1" ht="18">
      <c r="A14" s="266" t="s">
        <v>1053</v>
      </c>
      <c r="B14" s="280"/>
      <c r="C14" s="333">
        <v>0</v>
      </c>
      <c r="D14" s="333"/>
      <c r="E14" s="333">
        <v>0</v>
      </c>
      <c r="F14" s="333"/>
      <c r="G14" s="685">
        <v>0</v>
      </c>
      <c r="H14" s="333"/>
      <c r="I14" s="685"/>
      <c r="J14" s="334"/>
      <c r="K14" s="685"/>
      <c r="L14" s="333"/>
      <c r="M14" s="685"/>
      <c r="N14" s="334"/>
      <c r="O14" s="685"/>
      <c r="P14" s="334"/>
      <c r="Q14" s="685"/>
      <c r="R14" s="334"/>
      <c r="S14" s="685"/>
      <c r="T14" s="334"/>
      <c r="U14" s="685"/>
      <c r="V14" s="334"/>
      <c r="W14" s="685"/>
      <c r="X14" s="334"/>
      <c r="Y14" s="685"/>
      <c r="Z14" s="280"/>
      <c r="AA14" s="818">
        <f>SUM(C14:Z14)</f>
        <v>0</v>
      </c>
      <c r="AB14" s="619"/>
      <c r="AC14" s="621"/>
    </row>
    <row r="15" spans="1:29" s="119" customFormat="1" ht="18">
      <c r="A15" s="266" t="s">
        <v>1054</v>
      </c>
      <c r="B15" s="280"/>
      <c r="C15" s="335">
        <v>0</v>
      </c>
      <c r="D15" s="336"/>
      <c r="E15" s="336">
        <v>0</v>
      </c>
      <c r="F15" s="336"/>
      <c r="G15" s="339">
        <v>0</v>
      </c>
      <c r="H15" s="336"/>
      <c r="I15" s="339"/>
      <c r="J15" s="337"/>
      <c r="K15" s="339"/>
      <c r="L15" s="336"/>
      <c r="M15" s="339"/>
      <c r="N15" s="337"/>
      <c r="O15" s="339"/>
      <c r="P15" s="337"/>
      <c r="Q15" s="339"/>
      <c r="R15" s="337"/>
      <c r="S15" s="339"/>
      <c r="T15" s="337"/>
      <c r="U15" s="339"/>
      <c r="V15" s="337"/>
      <c r="W15" s="339"/>
      <c r="X15" s="337"/>
      <c r="Y15" s="339"/>
      <c r="Z15" s="280"/>
      <c r="AA15" s="541">
        <f>SUM(C15:Z15)</f>
        <v>0</v>
      </c>
      <c r="AB15" s="619"/>
      <c r="AC15" s="621"/>
    </row>
    <row r="16" spans="1:29" s="119" customFormat="1" ht="18">
      <c r="A16" s="266" t="s">
        <v>1055</v>
      </c>
      <c r="B16" s="280"/>
      <c r="C16" s="335">
        <v>0</v>
      </c>
      <c r="D16" s="336"/>
      <c r="E16" s="336">
        <v>0</v>
      </c>
      <c r="F16" s="336"/>
      <c r="G16" s="339">
        <v>0</v>
      </c>
      <c r="H16" s="336"/>
      <c r="I16" s="339"/>
      <c r="J16" s="337"/>
      <c r="K16" s="339"/>
      <c r="L16" s="336"/>
      <c r="M16" s="339"/>
      <c r="N16" s="337"/>
      <c r="O16" s="339"/>
      <c r="P16" s="337"/>
      <c r="Q16" s="339"/>
      <c r="R16" s="337"/>
      <c r="S16" s="339"/>
      <c r="T16" s="337"/>
      <c r="U16" s="339"/>
      <c r="V16" s="337"/>
      <c r="W16" s="339"/>
      <c r="X16" s="337"/>
      <c r="Y16" s="339"/>
      <c r="Z16" s="280"/>
      <c r="AA16" s="541">
        <f t="shared" ref="AA16:AA19" si="0">SUM(C16:Z16)</f>
        <v>0</v>
      </c>
      <c r="AB16" s="438"/>
      <c r="AC16" s="621"/>
    </row>
    <row r="17" spans="1:29" s="119" customFormat="1" ht="18">
      <c r="A17" s="266" t="s">
        <v>1056</v>
      </c>
      <c r="B17" s="280"/>
      <c r="C17" s="339">
        <v>0</v>
      </c>
      <c r="D17" s="336"/>
      <c r="E17" s="338">
        <v>0</v>
      </c>
      <c r="F17" s="336"/>
      <c r="G17" s="338">
        <v>0</v>
      </c>
      <c r="H17" s="336"/>
      <c r="I17" s="338"/>
      <c r="J17" s="337"/>
      <c r="K17" s="338"/>
      <c r="L17" s="336"/>
      <c r="M17" s="338"/>
      <c r="N17" s="337"/>
      <c r="O17" s="338"/>
      <c r="P17" s="337"/>
      <c r="Q17" s="338"/>
      <c r="R17" s="337"/>
      <c r="S17" s="338"/>
      <c r="T17" s="337"/>
      <c r="U17" s="338"/>
      <c r="V17" s="337"/>
      <c r="W17" s="338"/>
      <c r="X17" s="337"/>
      <c r="Y17" s="338"/>
      <c r="Z17" s="280"/>
      <c r="AA17" s="541">
        <f t="shared" si="0"/>
        <v>0</v>
      </c>
      <c r="AB17" s="438"/>
      <c r="AC17" s="621"/>
    </row>
    <row r="18" spans="1:29" s="119" customFormat="1" ht="18">
      <c r="A18" s="266" t="s">
        <v>1057</v>
      </c>
      <c r="B18" s="280"/>
      <c r="C18" s="335">
        <v>0</v>
      </c>
      <c r="D18" s="336"/>
      <c r="E18" s="336">
        <v>0</v>
      </c>
      <c r="F18" s="336"/>
      <c r="G18" s="339">
        <v>0</v>
      </c>
      <c r="H18" s="336"/>
      <c r="I18" s="339"/>
      <c r="J18" s="337"/>
      <c r="K18" s="339"/>
      <c r="L18" s="336"/>
      <c r="M18" s="339"/>
      <c r="N18" s="337"/>
      <c r="O18" s="339"/>
      <c r="P18" s="337"/>
      <c r="Q18" s="339"/>
      <c r="R18" s="337"/>
      <c r="S18" s="339"/>
      <c r="T18" s="337"/>
      <c r="U18" s="339"/>
      <c r="V18" s="337"/>
      <c r="W18" s="339"/>
      <c r="X18" s="337"/>
      <c r="Y18" s="339"/>
      <c r="Z18" s="280"/>
      <c r="AA18" s="541">
        <f t="shared" si="0"/>
        <v>0</v>
      </c>
      <c r="AB18" s="438"/>
      <c r="AC18" s="621"/>
    </row>
    <row r="19" spans="1:29" s="119" customFormat="1" ht="18">
      <c r="A19" s="266" t="s">
        <v>1058</v>
      </c>
      <c r="B19" s="280"/>
      <c r="C19" s="336">
        <v>0</v>
      </c>
      <c r="D19" s="336"/>
      <c r="E19" s="336">
        <v>0</v>
      </c>
      <c r="F19" s="336"/>
      <c r="G19" s="335">
        <v>0</v>
      </c>
      <c r="H19" s="336"/>
      <c r="I19" s="335"/>
      <c r="J19" s="337"/>
      <c r="K19" s="335"/>
      <c r="L19" s="336"/>
      <c r="M19" s="339"/>
      <c r="N19" s="337"/>
      <c r="O19" s="339"/>
      <c r="P19" s="337"/>
      <c r="Q19" s="339"/>
      <c r="R19" s="337"/>
      <c r="S19" s="339"/>
      <c r="T19" s="337"/>
      <c r="U19" s="339"/>
      <c r="V19" s="337"/>
      <c r="W19" s="339"/>
      <c r="X19" s="337"/>
      <c r="Y19" s="339"/>
      <c r="Z19" s="280"/>
      <c r="AA19" s="541">
        <f t="shared" si="0"/>
        <v>0</v>
      </c>
      <c r="AB19" s="438"/>
      <c r="AC19" s="621"/>
    </row>
    <row r="20" spans="1:29" s="119" customFormat="1" ht="18">
      <c r="A20" s="281" t="s">
        <v>1059</v>
      </c>
      <c r="B20" s="280"/>
      <c r="C20" s="1091">
        <f>ROUND(SUM(C14:C19),0)</f>
        <v>0</v>
      </c>
      <c r="D20" s="266"/>
      <c r="E20" s="1091">
        <f>ROUND(SUM(E14:E19),0)</f>
        <v>0</v>
      </c>
      <c r="F20" s="266"/>
      <c r="G20" s="1091">
        <f>ROUND(SUM(G14:G19),0)</f>
        <v>0</v>
      </c>
      <c r="H20" s="266"/>
      <c r="I20" s="1091">
        <f>ROUND(SUM(I14:I19),0)</f>
        <v>0</v>
      </c>
      <c r="J20" s="266"/>
      <c r="K20" s="1091">
        <f>ROUND(SUM(K14:K19),0)</f>
        <v>0</v>
      </c>
      <c r="L20" s="266"/>
      <c r="M20" s="1091">
        <f>ROUND(SUM(M14:M19),0)</f>
        <v>0</v>
      </c>
      <c r="N20" s="266"/>
      <c r="O20" s="1091">
        <f>ROUND(SUM(O14:O19),0)</f>
        <v>0</v>
      </c>
      <c r="P20" s="266"/>
      <c r="Q20" s="1091">
        <f>ROUND(SUM(Q14:Q19),0)</f>
        <v>0</v>
      </c>
      <c r="R20" s="266"/>
      <c r="S20" s="1091">
        <f>ROUND(SUM(S14:S19),0)</f>
        <v>0</v>
      </c>
      <c r="T20" s="266"/>
      <c r="U20" s="1091">
        <f>ROUND(SUM(U14:U19),0)</f>
        <v>0</v>
      </c>
      <c r="V20" s="266"/>
      <c r="W20" s="1091">
        <f>ROUND(SUM(W14:W19),0)</f>
        <v>0</v>
      </c>
      <c r="X20" s="266"/>
      <c r="Y20" s="1091">
        <f>ROUND(SUM(Y14:Y19),0)</f>
        <v>0</v>
      </c>
      <c r="Z20" s="266"/>
      <c r="AA20" s="1091">
        <f>ROUND(SUM(AA14:AA19),0)</f>
        <v>0</v>
      </c>
      <c r="AB20" s="438"/>
      <c r="AC20" s="621"/>
    </row>
    <row r="21" spans="1:29" s="119" customFormat="1" ht="18">
      <c r="A21"/>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66"/>
      <c r="AB21" s="438"/>
      <c r="AC21" s="621"/>
    </row>
    <row r="22" spans="1:29" s="119" customFormat="1" ht="18">
      <c r="A22" s="266"/>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66"/>
      <c r="AB22" s="438"/>
      <c r="AC22" s="621"/>
    </row>
    <row r="23" spans="1:29" ht="18">
      <c r="A23" s="266"/>
      <c r="B23" s="280"/>
      <c r="C23" s="280"/>
      <c r="D23" s="280"/>
      <c r="E23" s="280"/>
      <c r="F23" s="280"/>
      <c r="G23" s="280"/>
      <c r="H23" s="280"/>
      <c r="I23" s="280"/>
      <c r="J23" s="280"/>
      <c r="K23" s="280"/>
      <c r="L23" s="280"/>
      <c r="M23" s="280"/>
      <c r="N23" s="280"/>
      <c r="O23" s="280"/>
      <c r="P23" s="280"/>
      <c r="Q23" s="280"/>
      <c r="R23" s="280"/>
      <c r="S23" s="686"/>
      <c r="T23" s="280"/>
      <c r="U23" s="280"/>
      <c r="V23" s="280"/>
      <c r="W23" s="280"/>
      <c r="X23" s="280"/>
      <c r="Y23" s="280"/>
      <c r="Z23" s="280"/>
      <c r="AA23" s="266"/>
    </row>
    <row r="24" spans="1:29" s="122" customFormat="1" ht="18.75" thickBot="1">
      <c r="A24" s="281" t="s">
        <v>1060</v>
      </c>
      <c r="B24" s="280"/>
      <c r="C24" s="1092">
        <f>ROUND(C20,0)</f>
        <v>0</v>
      </c>
      <c r="D24" s="266"/>
      <c r="E24" s="1092">
        <f>ROUND(E20,0)</f>
        <v>0</v>
      </c>
      <c r="F24" s="266"/>
      <c r="G24" s="1092">
        <f>ROUND(G20,0)</f>
        <v>0</v>
      </c>
      <c r="H24" s="266"/>
      <c r="I24" s="1092">
        <f>ROUND(I20,0)</f>
        <v>0</v>
      </c>
      <c r="J24" s="266"/>
      <c r="K24" s="1092">
        <f>ROUND(K20,0)</f>
        <v>0</v>
      </c>
      <c r="L24" s="266"/>
      <c r="M24" s="1092">
        <f>ROUND(M20,0)</f>
        <v>0</v>
      </c>
      <c r="N24" s="266"/>
      <c r="O24" s="1092">
        <f>ROUND(O20,0)</f>
        <v>0</v>
      </c>
      <c r="P24" s="266"/>
      <c r="Q24" s="1092">
        <f>ROUND(Q20,0)</f>
        <v>0</v>
      </c>
      <c r="R24" s="266"/>
      <c r="S24" s="1092">
        <f>ROUND(S20,0)</f>
        <v>0</v>
      </c>
      <c r="T24" s="266"/>
      <c r="U24" s="1092">
        <f>ROUND(U20,0)</f>
        <v>0</v>
      </c>
      <c r="V24" s="266"/>
      <c r="W24" s="1092">
        <f>ROUND(W20,0)</f>
        <v>0</v>
      </c>
      <c r="X24" s="266"/>
      <c r="Y24" s="1092">
        <f>ROUND(Y20,0)</f>
        <v>0</v>
      </c>
      <c r="Z24" s="266"/>
      <c r="AA24" s="1092">
        <f>ROUND(AA20,0)</f>
        <v>0</v>
      </c>
    </row>
    <row r="25" spans="1:29" ht="15.75" thickTop="1">
      <c r="A25" s="439"/>
      <c r="C25" s="121"/>
      <c r="D25" s="121"/>
      <c r="E25" s="121"/>
      <c r="F25" s="121"/>
      <c r="G25" s="121"/>
      <c r="H25" s="121"/>
      <c r="I25" s="121"/>
      <c r="J25" s="121"/>
      <c r="K25" s="121"/>
      <c r="L25" s="121"/>
      <c r="M25" s="121"/>
      <c r="N25" s="121"/>
      <c r="O25" s="121"/>
      <c r="P25" s="121"/>
      <c r="Q25" s="121"/>
      <c r="R25" s="121"/>
      <c r="S25" s="121"/>
      <c r="T25" s="121"/>
      <c r="U25" s="121"/>
      <c r="V25" s="121"/>
      <c r="W25" s="121"/>
      <c r="X25" s="121"/>
      <c r="Y25" s="123"/>
    </row>
    <row r="26" spans="1:29" ht="13.5" thickBot="1"/>
    <row r="27" spans="1:29" ht="20.100000000000001" customHeight="1">
      <c r="A27" s="2076" t="s">
        <v>1462</v>
      </c>
      <c r="B27" s="2077"/>
      <c r="C27" s="2077"/>
      <c r="D27" s="2077"/>
      <c r="E27" s="2077"/>
      <c r="F27" s="2077"/>
      <c r="G27" s="2077"/>
      <c r="H27" s="2077"/>
      <c r="I27" s="2077"/>
      <c r="J27" s="2077"/>
      <c r="K27" s="2077"/>
      <c r="L27" s="2077"/>
      <c r="M27" s="2077"/>
      <c r="N27" s="2077"/>
      <c r="O27" s="2077"/>
      <c r="P27" s="2077"/>
      <c r="Q27" s="2077"/>
      <c r="R27" s="2077"/>
      <c r="S27" s="2077"/>
      <c r="T27" s="2077"/>
      <c r="U27" s="2077"/>
      <c r="V27" s="2077"/>
      <c r="W27" s="2077"/>
      <c r="X27" s="2077"/>
      <c r="Y27" s="2077"/>
      <c r="Z27" s="2077"/>
      <c r="AA27" s="2078"/>
    </row>
    <row r="28" spans="1:29" ht="20.100000000000001" customHeight="1">
      <c r="A28" s="2079"/>
      <c r="B28" s="2080"/>
      <c r="C28" s="2080"/>
      <c r="D28" s="2080"/>
      <c r="E28" s="2080"/>
      <c r="F28" s="2080"/>
      <c r="G28" s="2080"/>
      <c r="H28" s="2080"/>
      <c r="I28" s="2080"/>
      <c r="J28" s="2080"/>
      <c r="K28" s="2080"/>
      <c r="L28" s="2080"/>
      <c r="M28" s="2080"/>
      <c r="N28" s="2080"/>
      <c r="O28" s="2080"/>
      <c r="P28" s="2080"/>
      <c r="Q28" s="2080"/>
      <c r="R28" s="2080"/>
      <c r="S28" s="2080"/>
      <c r="T28" s="2080"/>
      <c r="U28" s="2080"/>
      <c r="V28" s="2080"/>
      <c r="W28" s="2080"/>
      <c r="X28" s="2080"/>
      <c r="Y28" s="2080"/>
      <c r="Z28" s="2080"/>
      <c r="AA28" s="2081"/>
    </row>
    <row r="29" spans="1:29" ht="22.5" customHeight="1" thickBot="1">
      <c r="A29" s="2082"/>
      <c r="B29" s="2083"/>
      <c r="C29" s="2083"/>
      <c r="D29" s="2083"/>
      <c r="E29" s="2083"/>
      <c r="F29" s="2083"/>
      <c r="G29" s="2083"/>
      <c r="H29" s="2083"/>
      <c r="I29" s="2083"/>
      <c r="J29" s="2083"/>
      <c r="K29" s="2083"/>
      <c r="L29" s="2083"/>
      <c r="M29" s="2083"/>
      <c r="N29" s="2083"/>
      <c r="O29" s="2083"/>
      <c r="P29" s="2083"/>
      <c r="Q29" s="2083"/>
      <c r="R29" s="2083"/>
      <c r="S29" s="2083"/>
      <c r="T29" s="2083"/>
      <c r="U29" s="2083"/>
      <c r="V29" s="2083"/>
      <c r="W29" s="2083"/>
      <c r="X29" s="2083"/>
      <c r="Y29" s="2083"/>
      <c r="Z29" s="2083"/>
      <c r="AA29" s="2084"/>
    </row>
    <row r="31" spans="1:29" ht="14.85" customHeight="1"/>
    <row r="34" ht="14.1" customHeight="1"/>
  </sheetData>
  <customSheetViews>
    <customSheetView guid="{83D69B98-1714-4D17-901F-87B47BE66947}" scale="80" showPageBreaks="1" showGridLines="0" fitToPage="1" printArea="1">
      <selection activeCell="O32" sqref="O31:O32"/>
      <pageMargins left="0.25" right="0.25" top="0.5" bottom="0.25" header="0" footer="0.25"/>
      <printOptions horizontalCentered="1"/>
      <pageSetup scale="45" firstPageNumber="51" orientation="landscape" useFirstPageNumber="1" r:id="rId1"/>
      <headerFooter scaleWithDoc="0" alignWithMargins="0">
        <oddFooter>&amp;C&amp;8&amp;P</oddFooter>
      </headerFooter>
    </customSheetView>
    <customSheetView guid="{F9AE1502-86F7-4AAA-AE66-F6A75A634C1B}" scale="80" showPageBreaks="1" showGridLines="0" fitToPage="1" printArea="1">
      <selection activeCell="E14" sqref="E14:Y19"/>
      <pageMargins left="0.25" right="0.25" top="0.5" bottom="0.25" header="0" footer="0.25"/>
      <printOptions horizontalCentered="1"/>
      <pageSetup scale="45" firstPageNumber="51" orientation="landscape" useFirstPageNumber="1" r:id="rId2"/>
      <headerFooter scaleWithDoc="0" alignWithMargins="0">
        <oddFooter>&amp;C&amp;8&amp;P</oddFooter>
      </headerFooter>
    </customSheetView>
    <customSheetView guid="{C41E3923-0A88-49D0-AE43-0E74D386A056}" scale="80" showPageBreaks="1" showGridLines="0" fitToPage="1" printArea="1">
      <selection activeCell="G22" sqref="G22"/>
      <pageMargins left="0.25" right="0.25" top="0.5" bottom="0.25" header="0" footer="0.25"/>
      <printOptions horizontalCentered="1"/>
      <pageSetup scale="45" firstPageNumber="51" orientation="landscape" useFirstPageNumber="1" r:id="rId3"/>
      <headerFooter scaleWithDoc="0" alignWithMargins="0">
        <oddFooter>&amp;C&amp;8&amp;P</oddFooter>
      </headerFooter>
    </customSheetView>
    <customSheetView guid="{1DF171D7-3BFC-49F6-B708-0F91FCFAB6E2}" scale="80" showPageBreaks="1" showGridLines="0" fitToPage="1" printArea="1">
      <selection activeCell="E14" sqref="E14:Y19"/>
      <pageMargins left="0.25" right="0.25" top="0.5" bottom="0.25" header="0" footer="0.25"/>
      <printOptions horizontalCentered="1"/>
      <pageSetup scale="45" firstPageNumber="51" orientation="landscape" useFirstPageNumber="1" r:id="rId4"/>
      <headerFooter scaleWithDoc="0" alignWithMargins="0">
        <oddFooter>&amp;C&amp;8&amp;P</oddFooter>
      </headerFooter>
    </customSheetView>
    <customSheetView guid="{9F00D83C-7F4F-41B5-9976-8610D9EBC976}" scale="80" showPageBreaks="1" showGridLines="0" fitToPage="1" printArea="1">
      <selection activeCell="E14" sqref="E14:Y19"/>
      <pageMargins left="0.25" right="0.25" top="0.5" bottom="0.25" header="0" footer="0.25"/>
      <printOptions horizontalCentered="1"/>
      <pageSetup scale="45" firstPageNumber="51" orientation="landscape" useFirstPageNumber="1" r:id="rId5"/>
      <headerFooter scaleWithDoc="0" alignWithMargins="0">
        <oddFooter>&amp;C&amp;8&amp;P</oddFooter>
      </headerFooter>
    </customSheetView>
    <customSheetView guid="{D1467C25-646C-4F1A-9353-0E890E575522}" scale="80" showPageBreaks="1" showGridLines="0" fitToPage="1" printArea="1">
      <selection activeCell="O32" sqref="O31:O32"/>
      <pageMargins left="0.25" right="0.25" top="0.5" bottom="0.25" header="0" footer="0.25"/>
      <printOptions horizontalCentered="1"/>
      <pageSetup scale="45" firstPageNumber="51"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A3">
      <selection activeCell="K4" sqref="K4"/>
      <pageMargins left="0.25" right="0.25" top="0.5" bottom="0.25" header="0" footer="0.25"/>
      <printOptions horizontalCentered="1"/>
      <pageSetup scale="45" firstPageNumber="51" orientation="landscape" useFirstPageNumber="1" r:id="rId7"/>
      <headerFooter scaleWithDoc="0" alignWithMargins="0">
        <oddFooter>&amp;C&amp;8&amp;P</oddFooter>
      </headerFooter>
    </customSheetView>
    <customSheetView guid="{C3636880-B45B-4897-94F2-F91976416934}" scale="80" showPageBreaks="1" showGridLines="0" fitToPage="1" printArea="1">
      <selection activeCell="E14" sqref="E14:Y19"/>
      <pageMargins left="0.25" right="0.25" top="0.5" bottom="0.25" header="0" footer="0.25"/>
      <printOptions horizontalCentered="1"/>
      <pageSetup scale="45" firstPageNumber="51" orientation="landscape" useFirstPageNumber="1" r:id="rId8"/>
      <headerFooter scaleWithDoc="0" alignWithMargins="0">
        <oddFooter>&amp;C&amp;8&amp;P</oddFooter>
      </headerFooter>
    </customSheetView>
  </customSheetViews>
  <mergeCells count="1">
    <mergeCell ref="A27:AA29"/>
  </mergeCells>
  <printOptions horizontalCentered="1"/>
  <pageMargins left="0.25" right="0.25" top="0.5" bottom="0.25" header="0" footer="0.25"/>
  <pageSetup scale="45" firstPageNumber="51" orientation="landscape" useFirstPageNumber="1" r:id="rId9"/>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302"/>
  <sheetViews>
    <sheetView showGridLines="0" zoomScale="90" workbookViewId="0"/>
  </sheetViews>
  <sheetFormatPr defaultRowHeight="15"/>
  <cols>
    <col min="1" max="1" width="2.109375" style="758" customWidth="1"/>
    <col min="2" max="2" width="10.109375" style="758" customWidth="1"/>
    <col min="3" max="3" width="2.109375" style="758" customWidth="1"/>
    <col min="4" max="4" width="51.88671875" style="758" customWidth="1"/>
    <col min="5" max="5" width="4.109375" style="758" customWidth="1"/>
    <col min="6" max="6" width="2.109375" style="816" customWidth="1"/>
    <col min="7" max="7" width="21.88671875" style="1179" bestFit="1" customWidth="1"/>
    <col min="8" max="8" width="2.109375" style="758" customWidth="1"/>
    <col min="9" max="9" width="21.5546875" style="758" bestFit="1" customWidth="1"/>
    <col min="10" max="10" width="2.109375" style="758" customWidth="1"/>
    <col min="11" max="11" width="21.88671875" style="758" bestFit="1" customWidth="1"/>
    <col min="12" max="12" width="2.109375" style="758" customWidth="1"/>
    <col min="13" max="13" width="20.88671875" style="758" customWidth="1"/>
    <col min="14" max="14" width="2.109375" style="758" customWidth="1"/>
    <col min="15" max="15" width="22.109375" style="758" bestFit="1" customWidth="1"/>
    <col min="16" max="16" width="6.109375" style="758" bestFit="1" customWidth="1"/>
    <col min="17" max="17" width="13.109375" style="758" bestFit="1" customWidth="1"/>
    <col min="18" max="255" width="8.88671875" style="758"/>
    <col min="256" max="257" width="8.88671875" style="758" customWidth="1"/>
    <col min="258" max="258" width="10.109375" style="758" customWidth="1"/>
    <col min="259" max="259" width="2.109375" style="758" customWidth="1"/>
    <col min="260" max="260" width="50.44140625" style="758" customWidth="1"/>
    <col min="261" max="261" width="8.88671875" style="758"/>
    <col min="262" max="262" width="2.109375" style="758" customWidth="1"/>
    <col min="263" max="263" width="23.88671875" style="758" customWidth="1"/>
    <col min="264" max="264" width="2.109375" style="758" customWidth="1"/>
    <col min="265" max="265" width="23.88671875" style="758" customWidth="1"/>
    <col min="266" max="266" width="2.109375" style="758" customWidth="1"/>
    <col min="267" max="267" width="23.88671875" style="758" customWidth="1"/>
    <col min="268" max="268" width="2.109375" style="758" customWidth="1"/>
    <col min="269" max="269" width="23.88671875" style="758" customWidth="1"/>
    <col min="270" max="270" width="2.109375" style="758" customWidth="1"/>
    <col min="271" max="271" width="23.88671875" style="758" customWidth="1"/>
    <col min="272" max="272" width="2.88671875" style="758" bestFit="1" customWidth="1"/>
    <col min="273" max="511" width="8.88671875" style="758"/>
    <col min="512" max="513" width="8.88671875" style="758" customWidth="1"/>
    <col min="514" max="514" width="10.109375" style="758" customWidth="1"/>
    <col min="515" max="515" width="2.109375" style="758" customWidth="1"/>
    <col min="516" max="516" width="50.44140625" style="758" customWidth="1"/>
    <col min="517" max="517" width="8.88671875" style="758"/>
    <col min="518" max="518" width="2.109375" style="758" customWidth="1"/>
    <col min="519" max="519" width="23.88671875" style="758" customWidth="1"/>
    <col min="520" max="520" width="2.109375" style="758" customWidth="1"/>
    <col min="521" max="521" width="23.88671875" style="758" customWidth="1"/>
    <col min="522" max="522" width="2.109375" style="758" customWidth="1"/>
    <col min="523" max="523" width="23.88671875" style="758" customWidth="1"/>
    <col min="524" max="524" width="2.109375" style="758" customWidth="1"/>
    <col min="525" max="525" width="23.88671875" style="758" customWidth="1"/>
    <col min="526" max="526" width="2.109375" style="758" customWidth="1"/>
    <col min="527" max="527" width="23.88671875" style="758" customWidth="1"/>
    <col min="528" max="528" width="2.88671875" style="758" bestFit="1" customWidth="1"/>
    <col min="529" max="767" width="8.88671875" style="758"/>
    <col min="768" max="769" width="8.88671875" style="758" customWidth="1"/>
    <col min="770" max="770" width="10.109375" style="758" customWidth="1"/>
    <col min="771" max="771" width="2.109375" style="758" customWidth="1"/>
    <col min="772" max="772" width="50.44140625" style="758" customWidth="1"/>
    <col min="773" max="773" width="8.88671875" style="758"/>
    <col min="774" max="774" width="2.109375" style="758" customWidth="1"/>
    <col min="775" max="775" width="23.88671875" style="758" customWidth="1"/>
    <col min="776" max="776" width="2.109375" style="758" customWidth="1"/>
    <col min="777" max="777" width="23.88671875" style="758" customWidth="1"/>
    <col min="778" max="778" width="2.109375" style="758" customWidth="1"/>
    <col min="779" max="779" width="23.88671875" style="758" customWidth="1"/>
    <col min="780" max="780" width="2.109375" style="758" customWidth="1"/>
    <col min="781" max="781" width="23.88671875" style="758" customWidth="1"/>
    <col min="782" max="782" width="2.109375" style="758" customWidth="1"/>
    <col min="783" max="783" width="23.88671875" style="758" customWidth="1"/>
    <col min="784" max="784" width="2.88671875" style="758" bestFit="1" customWidth="1"/>
    <col min="785" max="1023" width="8.88671875" style="758"/>
    <col min="1024" max="1025" width="8.88671875" style="758" customWidth="1"/>
    <col min="1026" max="1026" width="10.109375" style="758" customWidth="1"/>
    <col min="1027" max="1027" width="2.109375" style="758" customWidth="1"/>
    <col min="1028" max="1028" width="50.44140625" style="758" customWidth="1"/>
    <col min="1029" max="1029" width="8.88671875" style="758"/>
    <col min="1030" max="1030" width="2.109375" style="758" customWidth="1"/>
    <col min="1031" max="1031" width="23.88671875" style="758" customWidth="1"/>
    <col min="1032" max="1032" width="2.109375" style="758" customWidth="1"/>
    <col min="1033" max="1033" width="23.88671875" style="758" customWidth="1"/>
    <col min="1034" max="1034" width="2.109375" style="758" customWidth="1"/>
    <col min="1035" max="1035" width="23.88671875" style="758" customWidth="1"/>
    <col min="1036" max="1036" width="2.109375" style="758" customWidth="1"/>
    <col min="1037" max="1037" width="23.88671875" style="758" customWidth="1"/>
    <col min="1038" max="1038" width="2.109375" style="758" customWidth="1"/>
    <col min="1039" max="1039" width="23.88671875" style="758" customWidth="1"/>
    <col min="1040" max="1040" width="2.88671875" style="758" bestFit="1" customWidth="1"/>
    <col min="1041" max="1279" width="8.88671875" style="758"/>
    <col min="1280" max="1281" width="8.88671875" style="758" customWidth="1"/>
    <col min="1282" max="1282" width="10.109375" style="758" customWidth="1"/>
    <col min="1283" max="1283" width="2.109375" style="758" customWidth="1"/>
    <col min="1284" max="1284" width="50.44140625" style="758" customWidth="1"/>
    <col min="1285" max="1285" width="8.88671875" style="758"/>
    <col min="1286" max="1286" width="2.109375" style="758" customWidth="1"/>
    <col min="1287" max="1287" width="23.88671875" style="758" customWidth="1"/>
    <col min="1288" max="1288" width="2.109375" style="758" customWidth="1"/>
    <col min="1289" max="1289" width="23.88671875" style="758" customWidth="1"/>
    <col min="1290" max="1290" width="2.109375" style="758" customWidth="1"/>
    <col min="1291" max="1291" width="23.88671875" style="758" customWidth="1"/>
    <col min="1292" max="1292" width="2.109375" style="758" customWidth="1"/>
    <col min="1293" max="1293" width="23.88671875" style="758" customWidth="1"/>
    <col min="1294" max="1294" width="2.109375" style="758" customWidth="1"/>
    <col min="1295" max="1295" width="23.88671875" style="758" customWidth="1"/>
    <col min="1296" max="1296" width="2.88671875" style="758" bestFit="1" customWidth="1"/>
    <col min="1297" max="1535" width="8.88671875" style="758"/>
    <col min="1536" max="1537" width="8.88671875" style="758" customWidth="1"/>
    <col min="1538" max="1538" width="10.109375" style="758" customWidth="1"/>
    <col min="1539" max="1539" width="2.109375" style="758" customWidth="1"/>
    <col min="1540" max="1540" width="50.44140625" style="758" customWidth="1"/>
    <col min="1541" max="1541" width="8.88671875" style="758"/>
    <col min="1542" max="1542" width="2.109375" style="758" customWidth="1"/>
    <col min="1543" max="1543" width="23.88671875" style="758" customWidth="1"/>
    <col min="1544" max="1544" width="2.109375" style="758" customWidth="1"/>
    <col min="1545" max="1545" width="23.88671875" style="758" customWidth="1"/>
    <col min="1546" max="1546" width="2.109375" style="758" customWidth="1"/>
    <col min="1547" max="1547" width="23.88671875" style="758" customWidth="1"/>
    <col min="1548" max="1548" width="2.109375" style="758" customWidth="1"/>
    <col min="1549" max="1549" width="23.88671875" style="758" customWidth="1"/>
    <col min="1550" max="1550" width="2.109375" style="758" customWidth="1"/>
    <col min="1551" max="1551" width="23.88671875" style="758" customWidth="1"/>
    <col min="1552" max="1552" width="2.88671875" style="758" bestFit="1" customWidth="1"/>
    <col min="1553" max="1791" width="8.88671875" style="758"/>
    <col min="1792" max="1793" width="8.88671875" style="758" customWidth="1"/>
    <col min="1794" max="1794" width="10.109375" style="758" customWidth="1"/>
    <col min="1795" max="1795" width="2.109375" style="758" customWidth="1"/>
    <col min="1796" max="1796" width="50.44140625" style="758" customWidth="1"/>
    <col min="1797" max="1797" width="8.88671875" style="758"/>
    <col min="1798" max="1798" width="2.109375" style="758" customWidth="1"/>
    <col min="1799" max="1799" width="23.88671875" style="758" customWidth="1"/>
    <col min="1800" max="1800" width="2.109375" style="758" customWidth="1"/>
    <col min="1801" max="1801" width="23.88671875" style="758" customWidth="1"/>
    <col min="1802" max="1802" width="2.109375" style="758" customWidth="1"/>
    <col min="1803" max="1803" width="23.88671875" style="758" customWidth="1"/>
    <col min="1804" max="1804" width="2.109375" style="758" customWidth="1"/>
    <col min="1805" max="1805" width="23.88671875" style="758" customWidth="1"/>
    <col min="1806" max="1806" width="2.109375" style="758" customWidth="1"/>
    <col min="1807" max="1807" width="23.88671875" style="758" customWidth="1"/>
    <col min="1808" max="1808" width="2.88671875" style="758" bestFit="1" customWidth="1"/>
    <col min="1809" max="2047" width="8.88671875" style="758"/>
    <col min="2048" max="2049" width="8.88671875" style="758" customWidth="1"/>
    <col min="2050" max="2050" width="10.109375" style="758" customWidth="1"/>
    <col min="2051" max="2051" width="2.109375" style="758" customWidth="1"/>
    <col min="2052" max="2052" width="50.44140625" style="758" customWidth="1"/>
    <col min="2053" max="2053" width="8.88671875" style="758"/>
    <col min="2054" max="2054" width="2.109375" style="758" customWidth="1"/>
    <col min="2055" max="2055" width="23.88671875" style="758" customWidth="1"/>
    <col min="2056" max="2056" width="2.109375" style="758" customWidth="1"/>
    <col min="2057" max="2057" width="23.88671875" style="758" customWidth="1"/>
    <col min="2058" max="2058" width="2.109375" style="758" customWidth="1"/>
    <col min="2059" max="2059" width="23.88671875" style="758" customWidth="1"/>
    <col min="2060" max="2060" width="2.109375" style="758" customWidth="1"/>
    <col min="2061" max="2061" width="23.88671875" style="758" customWidth="1"/>
    <col min="2062" max="2062" width="2.109375" style="758" customWidth="1"/>
    <col min="2063" max="2063" width="23.88671875" style="758" customWidth="1"/>
    <col min="2064" max="2064" width="2.88671875" style="758" bestFit="1" customWidth="1"/>
    <col min="2065" max="2303" width="8.88671875" style="758"/>
    <col min="2304" max="2305" width="8.88671875" style="758" customWidth="1"/>
    <col min="2306" max="2306" width="10.109375" style="758" customWidth="1"/>
    <col min="2307" max="2307" width="2.109375" style="758" customWidth="1"/>
    <col min="2308" max="2308" width="50.44140625" style="758" customWidth="1"/>
    <col min="2309" max="2309" width="8.88671875" style="758"/>
    <col min="2310" max="2310" width="2.109375" style="758" customWidth="1"/>
    <col min="2311" max="2311" width="23.88671875" style="758" customWidth="1"/>
    <col min="2312" max="2312" width="2.109375" style="758" customWidth="1"/>
    <col min="2313" max="2313" width="23.88671875" style="758" customWidth="1"/>
    <col min="2314" max="2314" width="2.109375" style="758" customWidth="1"/>
    <col min="2315" max="2315" width="23.88671875" style="758" customWidth="1"/>
    <col min="2316" max="2316" width="2.109375" style="758" customWidth="1"/>
    <col min="2317" max="2317" width="23.88671875" style="758" customWidth="1"/>
    <col min="2318" max="2318" width="2.109375" style="758" customWidth="1"/>
    <col min="2319" max="2319" width="23.88671875" style="758" customWidth="1"/>
    <col min="2320" max="2320" width="2.88671875" style="758" bestFit="1" customWidth="1"/>
    <col min="2321" max="2559" width="8.88671875" style="758"/>
    <col min="2560" max="2561" width="8.88671875" style="758" customWidth="1"/>
    <col min="2562" max="2562" width="10.109375" style="758" customWidth="1"/>
    <col min="2563" max="2563" width="2.109375" style="758" customWidth="1"/>
    <col min="2564" max="2564" width="50.44140625" style="758" customWidth="1"/>
    <col min="2565" max="2565" width="8.88671875" style="758"/>
    <col min="2566" max="2566" width="2.109375" style="758" customWidth="1"/>
    <col min="2567" max="2567" width="23.88671875" style="758" customWidth="1"/>
    <col min="2568" max="2568" width="2.109375" style="758" customWidth="1"/>
    <col min="2569" max="2569" width="23.88671875" style="758" customWidth="1"/>
    <col min="2570" max="2570" width="2.109375" style="758" customWidth="1"/>
    <col min="2571" max="2571" width="23.88671875" style="758" customWidth="1"/>
    <col min="2572" max="2572" width="2.109375" style="758" customWidth="1"/>
    <col min="2573" max="2573" width="23.88671875" style="758" customWidth="1"/>
    <col min="2574" max="2574" width="2.109375" style="758" customWidth="1"/>
    <col min="2575" max="2575" width="23.88671875" style="758" customWidth="1"/>
    <col min="2576" max="2576" width="2.88671875" style="758" bestFit="1" customWidth="1"/>
    <col min="2577" max="2815" width="8.88671875" style="758"/>
    <col min="2816" max="2817" width="8.88671875" style="758" customWidth="1"/>
    <col min="2818" max="2818" width="10.109375" style="758" customWidth="1"/>
    <col min="2819" max="2819" width="2.109375" style="758" customWidth="1"/>
    <col min="2820" max="2820" width="50.44140625" style="758" customWidth="1"/>
    <col min="2821" max="2821" width="8.88671875" style="758"/>
    <col min="2822" max="2822" width="2.109375" style="758" customWidth="1"/>
    <col min="2823" max="2823" width="23.88671875" style="758" customWidth="1"/>
    <col min="2824" max="2824" width="2.109375" style="758" customWidth="1"/>
    <col min="2825" max="2825" width="23.88671875" style="758" customWidth="1"/>
    <col min="2826" max="2826" width="2.109375" style="758" customWidth="1"/>
    <col min="2827" max="2827" width="23.88671875" style="758" customWidth="1"/>
    <col min="2828" max="2828" width="2.109375" style="758" customWidth="1"/>
    <col min="2829" max="2829" width="23.88671875" style="758" customWidth="1"/>
    <col min="2830" max="2830" width="2.109375" style="758" customWidth="1"/>
    <col min="2831" max="2831" width="23.88671875" style="758" customWidth="1"/>
    <col min="2832" max="2832" width="2.88671875" style="758" bestFit="1" customWidth="1"/>
    <col min="2833" max="3071" width="8.88671875" style="758"/>
    <col min="3072" max="3073" width="8.88671875" style="758" customWidth="1"/>
    <col min="3074" max="3074" width="10.109375" style="758" customWidth="1"/>
    <col min="3075" max="3075" width="2.109375" style="758" customWidth="1"/>
    <col min="3076" max="3076" width="50.44140625" style="758" customWidth="1"/>
    <col min="3077" max="3077" width="8.88671875" style="758"/>
    <col min="3078" max="3078" width="2.109375" style="758" customWidth="1"/>
    <col min="3079" max="3079" width="23.88671875" style="758" customWidth="1"/>
    <col min="3080" max="3080" width="2.109375" style="758" customWidth="1"/>
    <col min="3081" max="3081" width="23.88671875" style="758" customWidth="1"/>
    <col min="3082" max="3082" width="2.109375" style="758" customWidth="1"/>
    <col min="3083" max="3083" width="23.88671875" style="758" customWidth="1"/>
    <col min="3084" max="3084" width="2.109375" style="758" customWidth="1"/>
    <col min="3085" max="3085" width="23.88671875" style="758" customWidth="1"/>
    <col min="3086" max="3086" width="2.109375" style="758" customWidth="1"/>
    <col min="3087" max="3087" width="23.88671875" style="758" customWidth="1"/>
    <col min="3088" max="3088" width="2.88671875" style="758" bestFit="1" customWidth="1"/>
    <col min="3089" max="3327" width="8.88671875" style="758"/>
    <col min="3328" max="3329" width="8.88671875" style="758" customWidth="1"/>
    <col min="3330" max="3330" width="10.109375" style="758" customWidth="1"/>
    <col min="3331" max="3331" width="2.109375" style="758" customWidth="1"/>
    <col min="3332" max="3332" width="50.44140625" style="758" customWidth="1"/>
    <col min="3333" max="3333" width="8.88671875" style="758"/>
    <col min="3334" max="3334" width="2.109375" style="758" customWidth="1"/>
    <col min="3335" max="3335" width="23.88671875" style="758" customWidth="1"/>
    <col min="3336" max="3336" width="2.109375" style="758" customWidth="1"/>
    <col min="3337" max="3337" width="23.88671875" style="758" customWidth="1"/>
    <col min="3338" max="3338" width="2.109375" style="758" customWidth="1"/>
    <col min="3339" max="3339" width="23.88671875" style="758" customWidth="1"/>
    <col min="3340" max="3340" width="2.109375" style="758" customWidth="1"/>
    <col min="3341" max="3341" width="23.88671875" style="758" customWidth="1"/>
    <col min="3342" max="3342" width="2.109375" style="758" customWidth="1"/>
    <col min="3343" max="3343" width="23.88671875" style="758" customWidth="1"/>
    <col min="3344" max="3344" width="2.88671875" style="758" bestFit="1" customWidth="1"/>
    <col min="3345" max="3583" width="8.88671875" style="758"/>
    <col min="3584" max="3585" width="8.88671875" style="758" customWidth="1"/>
    <col min="3586" max="3586" width="10.109375" style="758" customWidth="1"/>
    <col min="3587" max="3587" width="2.109375" style="758" customWidth="1"/>
    <col min="3588" max="3588" width="50.44140625" style="758" customWidth="1"/>
    <col min="3589" max="3589" width="8.88671875" style="758"/>
    <col min="3590" max="3590" width="2.109375" style="758" customWidth="1"/>
    <col min="3591" max="3591" width="23.88671875" style="758" customWidth="1"/>
    <col min="3592" max="3592" width="2.109375" style="758" customWidth="1"/>
    <col min="3593" max="3593" width="23.88671875" style="758" customWidth="1"/>
    <col min="3594" max="3594" width="2.109375" style="758" customWidth="1"/>
    <col min="3595" max="3595" width="23.88671875" style="758" customWidth="1"/>
    <col min="3596" max="3596" width="2.109375" style="758" customWidth="1"/>
    <col min="3597" max="3597" width="23.88671875" style="758" customWidth="1"/>
    <col min="3598" max="3598" width="2.109375" style="758" customWidth="1"/>
    <col min="3599" max="3599" width="23.88671875" style="758" customWidth="1"/>
    <col min="3600" max="3600" width="2.88671875" style="758" bestFit="1" customWidth="1"/>
    <col min="3601" max="3839" width="8.88671875" style="758"/>
    <col min="3840" max="3841" width="8.88671875" style="758" customWidth="1"/>
    <col min="3842" max="3842" width="10.109375" style="758" customWidth="1"/>
    <col min="3843" max="3843" width="2.109375" style="758" customWidth="1"/>
    <col min="3844" max="3844" width="50.44140625" style="758" customWidth="1"/>
    <col min="3845" max="3845" width="8.88671875" style="758"/>
    <col min="3846" max="3846" width="2.109375" style="758" customWidth="1"/>
    <col min="3847" max="3847" width="23.88671875" style="758" customWidth="1"/>
    <col min="3848" max="3848" width="2.109375" style="758" customWidth="1"/>
    <col min="3849" max="3849" width="23.88671875" style="758" customWidth="1"/>
    <col min="3850" max="3850" width="2.109375" style="758" customWidth="1"/>
    <col min="3851" max="3851" width="23.88671875" style="758" customWidth="1"/>
    <col min="3852" max="3852" width="2.109375" style="758" customWidth="1"/>
    <col min="3853" max="3853" width="23.88671875" style="758" customWidth="1"/>
    <col min="3854" max="3854" width="2.109375" style="758" customWidth="1"/>
    <col min="3855" max="3855" width="23.88671875" style="758" customWidth="1"/>
    <col min="3856" max="3856" width="2.88671875" style="758" bestFit="1" customWidth="1"/>
    <col min="3857" max="4095" width="8.88671875" style="758"/>
    <col min="4096" max="4097" width="8.88671875" style="758" customWidth="1"/>
    <col min="4098" max="4098" width="10.109375" style="758" customWidth="1"/>
    <col min="4099" max="4099" width="2.109375" style="758" customWidth="1"/>
    <col min="4100" max="4100" width="50.44140625" style="758" customWidth="1"/>
    <col min="4101" max="4101" width="8.88671875" style="758"/>
    <col min="4102" max="4102" width="2.109375" style="758" customWidth="1"/>
    <col min="4103" max="4103" width="23.88671875" style="758" customWidth="1"/>
    <col min="4104" max="4104" width="2.109375" style="758" customWidth="1"/>
    <col min="4105" max="4105" width="23.88671875" style="758" customWidth="1"/>
    <col min="4106" max="4106" width="2.109375" style="758" customWidth="1"/>
    <col min="4107" max="4107" width="23.88671875" style="758" customWidth="1"/>
    <col min="4108" max="4108" width="2.109375" style="758" customWidth="1"/>
    <col min="4109" max="4109" width="23.88671875" style="758" customWidth="1"/>
    <col min="4110" max="4110" width="2.109375" style="758" customWidth="1"/>
    <col min="4111" max="4111" width="23.88671875" style="758" customWidth="1"/>
    <col min="4112" max="4112" width="2.88671875" style="758" bestFit="1" customWidth="1"/>
    <col min="4113" max="4351" width="8.88671875" style="758"/>
    <col min="4352" max="4353" width="8.88671875" style="758" customWidth="1"/>
    <col min="4354" max="4354" width="10.109375" style="758" customWidth="1"/>
    <col min="4355" max="4355" width="2.109375" style="758" customWidth="1"/>
    <col min="4356" max="4356" width="50.44140625" style="758" customWidth="1"/>
    <col min="4357" max="4357" width="8.88671875" style="758"/>
    <col min="4358" max="4358" width="2.109375" style="758" customWidth="1"/>
    <col min="4359" max="4359" width="23.88671875" style="758" customWidth="1"/>
    <col min="4360" max="4360" width="2.109375" style="758" customWidth="1"/>
    <col min="4361" max="4361" width="23.88671875" style="758" customWidth="1"/>
    <col min="4362" max="4362" width="2.109375" style="758" customWidth="1"/>
    <col min="4363" max="4363" width="23.88671875" style="758" customWidth="1"/>
    <col min="4364" max="4364" width="2.109375" style="758" customWidth="1"/>
    <col min="4365" max="4365" width="23.88671875" style="758" customWidth="1"/>
    <col min="4366" max="4366" width="2.109375" style="758" customWidth="1"/>
    <col min="4367" max="4367" width="23.88671875" style="758" customWidth="1"/>
    <col min="4368" max="4368" width="2.88671875" style="758" bestFit="1" customWidth="1"/>
    <col min="4369" max="4607" width="8.88671875" style="758"/>
    <col min="4608" max="4609" width="8.88671875" style="758" customWidth="1"/>
    <col min="4610" max="4610" width="10.109375" style="758" customWidth="1"/>
    <col min="4611" max="4611" width="2.109375" style="758" customWidth="1"/>
    <col min="4612" max="4612" width="50.44140625" style="758" customWidth="1"/>
    <col min="4613" max="4613" width="8.88671875" style="758"/>
    <col min="4614" max="4614" width="2.109375" style="758" customWidth="1"/>
    <col min="4615" max="4615" width="23.88671875" style="758" customWidth="1"/>
    <col min="4616" max="4616" width="2.109375" style="758" customWidth="1"/>
    <col min="4617" max="4617" width="23.88671875" style="758" customWidth="1"/>
    <col min="4618" max="4618" width="2.109375" style="758" customWidth="1"/>
    <col min="4619" max="4619" width="23.88671875" style="758" customWidth="1"/>
    <col min="4620" max="4620" width="2.109375" style="758" customWidth="1"/>
    <col min="4621" max="4621" width="23.88671875" style="758" customWidth="1"/>
    <col min="4622" max="4622" width="2.109375" style="758" customWidth="1"/>
    <col min="4623" max="4623" width="23.88671875" style="758" customWidth="1"/>
    <col min="4624" max="4624" width="2.88671875" style="758" bestFit="1" customWidth="1"/>
    <col min="4625" max="4863" width="8.88671875" style="758"/>
    <col min="4864" max="4865" width="8.88671875" style="758" customWidth="1"/>
    <col min="4866" max="4866" width="10.109375" style="758" customWidth="1"/>
    <col min="4867" max="4867" width="2.109375" style="758" customWidth="1"/>
    <col min="4868" max="4868" width="50.44140625" style="758" customWidth="1"/>
    <col min="4869" max="4869" width="8.88671875" style="758"/>
    <col min="4870" max="4870" width="2.109375" style="758" customWidth="1"/>
    <col min="4871" max="4871" width="23.88671875" style="758" customWidth="1"/>
    <col min="4872" max="4872" width="2.109375" style="758" customWidth="1"/>
    <col min="4873" max="4873" width="23.88671875" style="758" customWidth="1"/>
    <col min="4874" max="4874" width="2.109375" style="758" customWidth="1"/>
    <col min="4875" max="4875" width="23.88671875" style="758" customWidth="1"/>
    <col min="4876" max="4876" width="2.109375" style="758" customWidth="1"/>
    <col min="4877" max="4877" width="23.88671875" style="758" customWidth="1"/>
    <col min="4878" max="4878" width="2.109375" style="758" customWidth="1"/>
    <col min="4879" max="4879" width="23.88671875" style="758" customWidth="1"/>
    <col min="4880" max="4880" width="2.88671875" style="758" bestFit="1" customWidth="1"/>
    <col min="4881" max="5119" width="8.88671875" style="758"/>
    <col min="5120" max="5121" width="8.88671875" style="758" customWidth="1"/>
    <col min="5122" max="5122" width="10.109375" style="758" customWidth="1"/>
    <col min="5123" max="5123" width="2.109375" style="758" customWidth="1"/>
    <col min="5124" max="5124" width="50.44140625" style="758" customWidth="1"/>
    <col min="5125" max="5125" width="8.88671875" style="758"/>
    <col min="5126" max="5126" width="2.109375" style="758" customWidth="1"/>
    <col min="5127" max="5127" width="23.88671875" style="758" customWidth="1"/>
    <col min="5128" max="5128" width="2.109375" style="758" customWidth="1"/>
    <col min="5129" max="5129" width="23.88671875" style="758" customWidth="1"/>
    <col min="5130" max="5130" width="2.109375" style="758" customWidth="1"/>
    <col min="5131" max="5131" width="23.88671875" style="758" customWidth="1"/>
    <col min="5132" max="5132" width="2.109375" style="758" customWidth="1"/>
    <col min="5133" max="5133" width="23.88671875" style="758" customWidth="1"/>
    <col min="5134" max="5134" width="2.109375" style="758" customWidth="1"/>
    <col min="5135" max="5135" width="23.88671875" style="758" customWidth="1"/>
    <col min="5136" max="5136" width="2.88671875" style="758" bestFit="1" customWidth="1"/>
    <col min="5137" max="5375" width="8.88671875" style="758"/>
    <col min="5376" max="5377" width="8.88671875" style="758" customWidth="1"/>
    <col min="5378" max="5378" width="10.109375" style="758" customWidth="1"/>
    <col min="5379" max="5379" width="2.109375" style="758" customWidth="1"/>
    <col min="5380" max="5380" width="50.44140625" style="758" customWidth="1"/>
    <col min="5381" max="5381" width="8.88671875" style="758"/>
    <col min="5382" max="5382" width="2.109375" style="758" customWidth="1"/>
    <col min="5383" max="5383" width="23.88671875" style="758" customWidth="1"/>
    <col min="5384" max="5384" width="2.109375" style="758" customWidth="1"/>
    <col min="5385" max="5385" width="23.88671875" style="758" customWidth="1"/>
    <col min="5386" max="5386" width="2.109375" style="758" customWidth="1"/>
    <col min="5387" max="5387" width="23.88671875" style="758" customWidth="1"/>
    <col min="5388" max="5388" width="2.109375" style="758" customWidth="1"/>
    <col min="5389" max="5389" width="23.88671875" style="758" customWidth="1"/>
    <col min="5390" max="5390" width="2.109375" style="758" customWidth="1"/>
    <col min="5391" max="5391" width="23.88671875" style="758" customWidth="1"/>
    <col min="5392" max="5392" width="2.88671875" style="758" bestFit="1" customWidth="1"/>
    <col min="5393" max="5631" width="8.88671875" style="758"/>
    <col min="5632" max="5633" width="8.88671875" style="758" customWidth="1"/>
    <col min="5634" max="5634" width="10.109375" style="758" customWidth="1"/>
    <col min="5635" max="5635" width="2.109375" style="758" customWidth="1"/>
    <col min="5636" max="5636" width="50.44140625" style="758" customWidth="1"/>
    <col min="5637" max="5637" width="8.88671875" style="758"/>
    <col min="5638" max="5638" width="2.109375" style="758" customWidth="1"/>
    <col min="5639" max="5639" width="23.88671875" style="758" customWidth="1"/>
    <col min="5640" max="5640" width="2.109375" style="758" customWidth="1"/>
    <col min="5641" max="5641" width="23.88671875" style="758" customWidth="1"/>
    <col min="5642" max="5642" width="2.109375" style="758" customWidth="1"/>
    <col min="5643" max="5643" width="23.88671875" style="758" customWidth="1"/>
    <col min="5644" max="5644" width="2.109375" style="758" customWidth="1"/>
    <col min="5645" max="5645" width="23.88671875" style="758" customWidth="1"/>
    <col min="5646" max="5646" width="2.109375" style="758" customWidth="1"/>
    <col min="5647" max="5647" width="23.88671875" style="758" customWidth="1"/>
    <col min="5648" max="5648" width="2.88671875" style="758" bestFit="1" customWidth="1"/>
    <col min="5649" max="5887" width="8.88671875" style="758"/>
    <col min="5888" max="5889" width="8.88671875" style="758" customWidth="1"/>
    <col min="5890" max="5890" width="10.109375" style="758" customWidth="1"/>
    <col min="5891" max="5891" width="2.109375" style="758" customWidth="1"/>
    <col min="5892" max="5892" width="50.44140625" style="758" customWidth="1"/>
    <col min="5893" max="5893" width="8.88671875" style="758"/>
    <col min="5894" max="5894" width="2.109375" style="758" customWidth="1"/>
    <col min="5895" max="5895" width="23.88671875" style="758" customWidth="1"/>
    <col min="5896" max="5896" width="2.109375" style="758" customWidth="1"/>
    <col min="5897" max="5897" width="23.88671875" style="758" customWidth="1"/>
    <col min="5898" max="5898" width="2.109375" style="758" customWidth="1"/>
    <col min="5899" max="5899" width="23.88671875" style="758" customWidth="1"/>
    <col min="5900" max="5900" width="2.109375" style="758" customWidth="1"/>
    <col min="5901" max="5901" width="23.88671875" style="758" customWidth="1"/>
    <col min="5902" max="5902" width="2.109375" style="758" customWidth="1"/>
    <col min="5903" max="5903" width="23.88671875" style="758" customWidth="1"/>
    <col min="5904" max="5904" width="2.88671875" style="758" bestFit="1" customWidth="1"/>
    <col min="5905" max="6143" width="8.88671875" style="758"/>
    <col min="6144" max="6145" width="8.88671875" style="758" customWidth="1"/>
    <col min="6146" max="6146" width="10.109375" style="758" customWidth="1"/>
    <col min="6147" max="6147" width="2.109375" style="758" customWidth="1"/>
    <col min="6148" max="6148" width="50.44140625" style="758" customWidth="1"/>
    <col min="6149" max="6149" width="8.88671875" style="758"/>
    <col min="6150" max="6150" width="2.109375" style="758" customWidth="1"/>
    <col min="6151" max="6151" width="23.88671875" style="758" customWidth="1"/>
    <col min="6152" max="6152" width="2.109375" style="758" customWidth="1"/>
    <col min="6153" max="6153" width="23.88671875" style="758" customWidth="1"/>
    <col min="6154" max="6154" width="2.109375" style="758" customWidth="1"/>
    <col min="6155" max="6155" width="23.88671875" style="758" customWidth="1"/>
    <col min="6156" max="6156" width="2.109375" style="758" customWidth="1"/>
    <col min="6157" max="6157" width="23.88671875" style="758" customWidth="1"/>
    <col min="6158" max="6158" width="2.109375" style="758" customWidth="1"/>
    <col min="6159" max="6159" width="23.88671875" style="758" customWidth="1"/>
    <col min="6160" max="6160" width="2.88671875" style="758" bestFit="1" customWidth="1"/>
    <col min="6161" max="6399" width="8.88671875" style="758"/>
    <col min="6400" max="6401" width="8.88671875" style="758" customWidth="1"/>
    <col min="6402" max="6402" width="10.109375" style="758" customWidth="1"/>
    <col min="6403" max="6403" width="2.109375" style="758" customWidth="1"/>
    <col min="6404" max="6404" width="50.44140625" style="758" customWidth="1"/>
    <col min="6405" max="6405" width="8.88671875" style="758"/>
    <col min="6406" max="6406" width="2.109375" style="758" customWidth="1"/>
    <col min="6407" max="6407" width="23.88671875" style="758" customWidth="1"/>
    <col min="6408" max="6408" width="2.109375" style="758" customWidth="1"/>
    <col min="6409" max="6409" width="23.88671875" style="758" customWidth="1"/>
    <col min="6410" max="6410" width="2.109375" style="758" customWidth="1"/>
    <col min="6411" max="6411" width="23.88671875" style="758" customWidth="1"/>
    <col min="6412" max="6412" width="2.109375" style="758" customWidth="1"/>
    <col min="6413" max="6413" width="23.88671875" style="758" customWidth="1"/>
    <col min="6414" max="6414" width="2.109375" style="758" customWidth="1"/>
    <col min="6415" max="6415" width="23.88671875" style="758" customWidth="1"/>
    <col min="6416" max="6416" width="2.88671875" style="758" bestFit="1" customWidth="1"/>
    <col min="6417" max="6655" width="8.88671875" style="758"/>
    <col min="6656" max="6657" width="8.88671875" style="758" customWidth="1"/>
    <col min="6658" max="6658" width="10.109375" style="758" customWidth="1"/>
    <col min="6659" max="6659" width="2.109375" style="758" customWidth="1"/>
    <col min="6660" max="6660" width="50.44140625" style="758" customWidth="1"/>
    <col min="6661" max="6661" width="8.88671875" style="758"/>
    <col min="6662" max="6662" width="2.109375" style="758" customWidth="1"/>
    <col min="6663" max="6663" width="23.88671875" style="758" customWidth="1"/>
    <col min="6664" max="6664" width="2.109375" style="758" customWidth="1"/>
    <col min="6665" max="6665" width="23.88671875" style="758" customWidth="1"/>
    <col min="6666" max="6666" width="2.109375" style="758" customWidth="1"/>
    <col min="6667" max="6667" width="23.88671875" style="758" customWidth="1"/>
    <col min="6668" max="6668" width="2.109375" style="758" customWidth="1"/>
    <col min="6669" max="6669" width="23.88671875" style="758" customWidth="1"/>
    <col min="6670" max="6670" width="2.109375" style="758" customWidth="1"/>
    <col min="6671" max="6671" width="23.88671875" style="758" customWidth="1"/>
    <col min="6672" max="6672" width="2.88671875" style="758" bestFit="1" customWidth="1"/>
    <col min="6673" max="6911" width="8.88671875" style="758"/>
    <col min="6912" max="6913" width="8.88671875" style="758" customWidth="1"/>
    <col min="6914" max="6914" width="10.109375" style="758" customWidth="1"/>
    <col min="6915" max="6915" width="2.109375" style="758" customWidth="1"/>
    <col min="6916" max="6916" width="50.44140625" style="758" customWidth="1"/>
    <col min="6917" max="6917" width="8.88671875" style="758"/>
    <col min="6918" max="6918" width="2.109375" style="758" customWidth="1"/>
    <col min="6919" max="6919" width="23.88671875" style="758" customWidth="1"/>
    <col min="6920" max="6920" width="2.109375" style="758" customWidth="1"/>
    <col min="6921" max="6921" width="23.88671875" style="758" customWidth="1"/>
    <col min="6922" max="6922" width="2.109375" style="758" customWidth="1"/>
    <col min="6923" max="6923" width="23.88671875" style="758" customWidth="1"/>
    <col min="6924" max="6924" width="2.109375" style="758" customWidth="1"/>
    <col min="6925" max="6925" width="23.88671875" style="758" customWidth="1"/>
    <col min="6926" max="6926" width="2.109375" style="758" customWidth="1"/>
    <col min="6927" max="6927" width="23.88671875" style="758" customWidth="1"/>
    <col min="6928" max="6928" width="2.88671875" style="758" bestFit="1" customWidth="1"/>
    <col min="6929" max="7167" width="8.88671875" style="758"/>
    <col min="7168" max="7169" width="8.88671875" style="758" customWidth="1"/>
    <col min="7170" max="7170" width="10.109375" style="758" customWidth="1"/>
    <col min="7171" max="7171" width="2.109375" style="758" customWidth="1"/>
    <col min="7172" max="7172" width="50.44140625" style="758" customWidth="1"/>
    <col min="7173" max="7173" width="8.88671875" style="758"/>
    <col min="7174" max="7174" width="2.109375" style="758" customWidth="1"/>
    <col min="7175" max="7175" width="23.88671875" style="758" customWidth="1"/>
    <col min="7176" max="7176" width="2.109375" style="758" customWidth="1"/>
    <col min="7177" max="7177" width="23.88671875" style="758" customWidth="1"/>
    <col min="7178" max="7178" width="2.109375" style="758" customWidth="1"/>
    <col min="7179" max="7179" width="23.88671875" style="758" customWidth="1"/>
    <col min="7180" max="7180" width="2.109375" style="758" customWidth="1"/>
    <col min="7181" max="7181" width="23.88671875" style="758" customWidth="1"/>
    <col min="7182" max="7182" width="2.109375" style="758" customWidth="1"/>
    <col min="7183" max="7183" width="23.88671875" style="758" customWidth="1"/>
    <col min="7184" max="7184" width="2.88671875" style="758" bestFit="1" customWidth="1"/>
    <col min="7185" max="7423" width="8.88671875" style="758"/>
    <col min="7424" max="7425" width="8.88671875" style="758" customWidth="1"/>
    <col min="7426" max="7426" width="10.109375" style="758" customWidth="1"/>
    <col min="7427" max="7427" width="2.109375" style="758" customWidth="1"/>
    <col min="7428" max="7428" width="50.44140625" style="758" customWidth="1"/>
    <col min="7429" max="7429" width="8.88671875" style="758"/>
    <col min="7430" max="7430" width="2.109375" style="758" customWidth="1"/>
    <col min="7431" max="7431" width="23.88671875" style="758" customWidth="1"/>
    <col min="7432" max="7432" width="2.109375" style="758" customWidth="1"/>
    <col min="7433" max="7433" width="23.88671875" style="758" customWidth="1"/>
    <col min="7434" max="7434" width="2.109375" style="758" customWidth="1"/>
    <col min="7435" max="7435" width="23.88671875" style="758" customWidth="1"/>
    <col min="7436" max="7436" width="2.109375" style="758" customWidth="1"/>
    <col min="7437" max="7437" width="23.88671875" style="758" customWidth="1"/>
    <col min="7438" max="7438" width="2.109375" style="758" customWidth="1"/>
    <col min="7439" max="7439" width="23.88671875" style="758" customWidth="1"/>
    <col min="7440" max="7440" width="2.88671875" style="758" bestFit="1" customWidth="1"/>
    <col min="7441" max="7679" width="8.88671875" style="758"/>
    <col min="7680" max="7681" width="8.88671875" style="758" customWidth="1"/>
    <col min="7682" max="7682" width="10.109375" style="758" customWidth="1"/>
    <col min="7683" max="7683" width="2.109375" style="758" customWidth="1"/>
    <col min="7684" max="7684" width="50.44140625" style="758" customWidth="1"/>
    <col min="7685" max="7685" width="8.88671875" style="758"/>
    <col min="7686" max="7686" width="2.109375" style="758" customWidth="1"/>
    <col min="7687" max="7687" width="23.88671875" style="758" customWidth="1"/>
    <col min="7688" max="7688" width="2.109375" style="758" customWidth="1"/>
    <col min="7689" max="7689" width="23.88671875" style="758" customWidth="1"/>
    <col min="7690" max="7690" width="2.109375" style="758" customWidth="1"/>
    <col min="7691" max="7691" width="23.88671875" style="758" customWidth="1"/>
    <col min="7692" max="7692" width="2.109375" style="758" customWidth="1"/>
    <col min="7693" max="7693" width="23.88671875" style="758" customWidth="1"/>
    <col min="7694" max="7694" width="2.109375" style="758" customWidth="1"/>
    <col min="7695" max="7695" width="23.88671875" style="758" customWidth="1"/>
    <col min="7696" max="7696" width="2.88671875" style="758" bestFit="1" customWidth="1"/>
    <col min="7697" max="7935" width="8.88671875" style="758"/>
    <col min="7936" max="7937" width="8.88671875" style="758" customWidth="1"/>
    <col min="7938" max="7938" width="10.109375" style="758" customWidth="1"/>
    <col min="7939" max="7939" width="2.109375" style="758" customWidth="1"/>
    <col min="7940" max="7940" width="50.44140625" style="758" customWidth="1"/>
    <col min="7941" max="7941" width="8.88671875" style="758"/>
    <col min="7942" max="7942" width="2.109375" style="758" customWidth="1"/>
    <col min="7943" max="7943" width="23.88671875" style="758" customWidth="1"/>
    <col min="7944" max="7944" width="2.109375" style="758" customWidth="1"/>
    <col min="7945" max="7945" width="23.88671875" style="758" customWidth="1"/>
    <col min="7946" max="7946" width="2.109375" style="758" customWidth="1"/>
    <col min="7947" max="7947" width="23.88671875" style="758" customWidth="1"/>
    <col min="7948" max="7948" width="2.109375" style="758" customWidth="1"/>
    <col min="7949" max="7949" width="23.88671875" style="758" customWidth="1"/>
    <col min="7950" max="7950" width="2.109375" style="758" customWidth="1"/>
    <col min="7951" max="7951" width="23.88671875" style="758" customWidth="1"/>
    <col min="7952" max="7952" width="2.88671875" style="758" bestFit="1" customWidth="1"/>
    <col min="7953" max="8191" width="8.88671875" style="758"/>
    <col min="8192" max="8193" width="8.88671875" style="758" customWidth="1"/>
    <col min="8194" max="8194" width="10.109375" style="758" customWidth="1"/>
    <col min="8195" max="8195" width="2.109375" style="758" customWidth="1"/>
    <col min="8196" max="8196" width="50.44140625" style="758" customWidth="1"/>
    <col min="8197" max="8197" width="8.88671875" style="758"/>
    <col min="8198" max="8198" width="2.109375" style="758" customWidth="1"/>
    <col min="8199" max="8199" width="23.88671875" style="758" customWidth="1"/>
    <col min="8200" max="8200" width="2.109375" style="758" customWidth="1"/>
    <col min="8201" max="8201" width="23.88671875" style="758" customWidth="1"/>
    <col min="8202" max="8202" width="2.109375" style="758" customWidth="1"/>
    <col min="8203" max="8203" width="23.88671875" style="758" customWidth="1"/>
    <col min="8204" max="8204" width="2.109375" style="758" customWidth="1"/>
    <col min="8205" max="8205" width="23.88671875" style="758" customWidth="1"/>
    <col min="8206" max="8206" width="2.109375" style="758" customWidth="1"/>
    <col min="8207" max="8207" width="23.88671875" style="758" customWidth="1"/>
    <col min="8208" max="8208" width="2.88671875" style="758" bestFit="1" customWidth="1"/>
    <col min="8209" max="8447" width="8.88671875" style="758"/>
    <col min="8448" max="8449" width="8.88671875" style="758" customWidth="1"/>
    <col min="8450" max="8450" width="10.109375" style="758" customWidth="1"/>
    <col min="8451" max="8451" width="2.109375" style="758" customWidth="1"/>
    <col min="8452" max="8452" width="50.44140625" style="758" customWidth="1"/>
    <col min="8453" max="8453" width="8.88671875" style="758"/>
    <col min="8454" max="8454" width="2.109375" style="758" customWidth="1"/>
    <col min="8455" max="8455" width="23.88671875" style="758" customWidth="1"/>
    <col min="8456" max="8456" width="2.109375" style="758" customWidth="1"/>
    <col min="8457" max="8457" width="23.88671875" style="758" customWidth="1"/>
    <col min="8458" max="8458" width="2.109375" style="758" customWidth="1"/>
    <col min="8459" max="8459" width="23.88671875" style="758" customWidth="1"/>
    <col min="8460" max="8460" width="2.109375" style="758" customWidth="1"/>
    <col min="8461" max="8461" width="23.88671875" style="758" customWidth="1"/>
    <col min="8462" max="8462" width="2.109375" style="758" customWidth="1"/>
    <col min="8463" max="8463" width="23.88671875" style="758" customWidth="1"/>
    <col min="8464" max="8464" width="2.88671875" style="758" bestFit="1" customWidth="1"/>
    <col min="8465" max="8703" width="8.88671875" style="758"/>
    <col min="8704" max="8705" width="8.88671875" style="758" customWidth="1"/>
    <col min="8706" max="8706" width="10.109375" style="758" customWidth="1"/>
    <col min="8707" max="8707" width="2.109375" style="758" customWidth="1"/>
    <col min="8708" max="8708" width="50.44140625" style="758" customWidth="1"/>
    <col min="8709" max="8709" width="8.88671875" style="758"/>
    <col min="8710" max="8710" width="2.109375" style="758" customWidth="1"/>
    <col min="8711" max="8711" width="23.88671875" style="758" customWidth="1"/>
    <col min="8712" max="8712" width="2.109375" style="758" customWidth="1"/>
    <col min="8713" max="8713" width="23.88671875" style="758" customWidth="1"/>
    <col min="8714" max="8714" width="2.109375" style="758" customWidth="1"/>
    <col min="8715" max="8715" width="23.88671875" style="758" customWidth="1"/>
    <col min="8716" max="8716" width="2.109375" style="758" customWidth="1"/>
    <col min="8717" max="8717" width="23.88671875" style="758" customWidth="1"/>
    <col min="8718" max="8718" width="2.109375" style="758" customWidth="1"/>
    <col min="8719" max="8719" width="23.88671875" style="758" customWidth="1"/>
    <col min="8720" max="8720" width="2.88671875" style="758" bestFit="1" customWidth="1"/>
    <col min="8721" max="8959" width="8.88671875" style="758"/>
    <col min="8960" max="8961" width="8.88671875" style="758" customWidth="1"/>
    <col min="8962" max="8962" width="10.109375" style="758" customWidth="1"/>
    <col min="8963" max="8963" width="2.109375" style="758" customWidth="1"/>
    <col min="8964" max="8964" width="50.44140625" style="758" customWidth="1"/>
    <col min="8965" max="8965" width="8.88671875" style="758"/>
    <col min="8966" max="8966" width="2.109375" style="758" customWidth="1"/>
    <col min="8967" max="8967" width="23.88671875" style="758" customWidth="1"/>
    <col min="8968" max="8968" width="2.109375" style="758" customWidth="1"/>
    <col min="8969" max="8969" width="23.88671875" style="758" customWidth="1"/>
    <col min="8970" max="8970" width="2.109375" style="758" customWidth="1"/>
    <col min="8971" max="8971" width="23.88671875" style="758" customWidth="1"/>
    <col min="8972" max="8972" width="2.109375" style="758" customWidth="1"/>
    <col min="8973" max="8973" width="23.88671875" style="758" customWidth="1"/>
    <col min="8974" max="8974" width="2.109375" style="758" customWidth="1"/>
    <col min="8975" max="8975" width="23.88671875" style="758" customWidth="1"/>
    <col min="8976" max="8976" width="2.88671875" style="758" bestFit="1" customWidth="1"/>
    <col min="8977" max="9215" width="8.88671875" style="758"/>
    <col min="9216" max="9217" width="8.88671875" style="758" customWidth="1"/>
    <col min="9218" max="9218" width="10.109375" style="758" customWidth="1"/>
    <col min="9219" max="9219" width="2.109375" style="758" customWidth="1"/>
    <col min="9220" max="9220" width="50.44140625" style="758" customWidth="1"/>
    <col min="9221" max="9221" width="8.88671875" style="758"/>
    <col min="9222" max="9222" width="2.109375" style="758" customWidth="1"/>
    <col min="9223" max="9223" width="23.88671875" style="758" customWidth="1"/>
    <col min="9224" max="9224" width="2.109375" style="758" customWidth="1"/>
    <col min="9225" max="9225" width="23.88671875" style="758" customWidth="1"/>
    <col min="9226" max="9226" width="2.109375" style="758" customWidth="1"/>
    <col min="9227" max="9227" width="23.88671875" style="758" customWidth="1"/>
    <col min="9228" max="9228" width="2.109375" style="758" customWidth="1"/>
    <col min="9229" max="9229" width="23.88671875" style="758" customWidth="1"/>
    <col min="9230" max="9230" width="2.109375" style="758" customWidth="1"/>
    <col min="9231" max="9231" width="23.88671875" style="758" customWidth="1"/>
    <col min="9232" max="9232" width="2.88671875" style="758" bestFit="1" customWidth="1"/>
    <col min="9233" max="9471" width="8.88671875" style="758"/>
    <col min="9472" max="9473" width="8.88671875" style="758" customWidth="1"/>
    <col min="9474" max="9474" width="10.109375" style="758" customWidth="1"/>
    <col min="9475" max="9475" width="2.109375" style="758" customWidth="1"/>
    <col min="9476" max="9476" width="50.44140625" style="758" customWidth="1"/>
    <col min="9477" max="9477" width="8.88671875" style="758"/>
    <col min="9478" max="9478" width="2.109375" style="758" customWidth="1"/>
    <col min="9479" max="9479" width="23.88671875" style="758" customWidth="1"/>
    <col min="9480" max="9480" width="2.109375" style="758" customWidth="1"/>
    <col min="9481" max="9481" width="23.88671875" style="758" customWidth="1"/>
    <col min="9482" max="9482" width="2.109375" style="758" customWidth="1"/>
    <col min="9483" max="9483" width="23.88671875" style="758" customWidth="1"/>
    <col min="9484" max="9484" width="2.109375" style="758" customWidth="1"/>
    <col min="9485" max="9485" width="23.88671875" style="758" customWidth="1"/>
    <col min="9486" max="9486" width="2.109375" style="758" customWidth="1"/>
    <col min="9487" max="9487" width="23.88671875" style="758" customWidth="1"/>
    <col min="9488" max="9488" width="2.88671875" style="758" bestFit="1" customWidth="1"/>
    <col min="9489" max="9727" width="8.88671875" style="758"/>
    <col min="9728" max="9729" width="8.88671875" style="758" customWidth="1"/>
    <col min="9730" max="9730" width="10.109375" style="758" customWidth="1"/>
    <col min="9731" max="9731" width="2.109375" style="758" customWidth="1"/>
    <col min="9732" max="9732" width="50.44140625" style="758" customWidth="1"/>
    <col min="9733" max="9733" width="8.88671875" style="758"/>
    <col min="9734" max="9734" width="2.109375" style="758" customWidth="1"/>
    <col min="9735" max="9735" width="23.88671875" style="758" customWidth="1"/>
    <col min="9736" max="9736" width="2.109375" style="758" customWidth="1"/>
    <col min="9737" max="9737" width="23.88671875" style="758" customWidth="1"/>
    <col min="9738" max="9738" width="2.109375" style="758" customWidth="1"/>
    <col min="9739" max="9739" width="23.88671875" style="758" customWidth="1"/>
    <col min="9740" max="9740" width="2.109375" style="758" customWidth="1"/>
    <col min="9741" max="9741" width="23.88671875" style="758" customWidth="1"/>
    <col min="9742" max="9742" width="2.109375" style="758" customWidth="1"/>
    <col min="9743" max="9743" width="23.88671875" style="758" customWidth="1"/>
    <col min="9744" max="9744" width="2.88671875" style="758" bestFit="1" customWidth="1"/>
    <col min="9745" max="9983" width="8.88671875" style="758"/>
    <col min="9984" max="9985" width="8.88671875" style="758" customWidth="1"/>
    <col min="9986" max="9986" width="10.109375" style="758" customWidth="1"/>
    <col min="9987" max="9987" width="2.109375" style="758" customWidth="1"/>
    <col min="9988" max="9988" width="50.44140625" style="758" customWidth="1"/>
    <col min="9989" max="9989" width="8.88671875" style="758"/>
    <col min="9990" max="9990" width="2.109375" style="758" customWidth="1"/>
    <col min="9991" max="9991" width="23.88671875" style="758" customWidth="1"/>
    <col min="9992" max="9992" width="2.109375" style="758" customWidth="1"/>
    <col min="9993" max="9993" width="23.88671875" style="758" customWidth="1"/>
    <col min="9994" max="9994" width="2.109375" style="758" customWidth="1"/>
    <col min="9995" max="9995" width="23.88671875" style="758" customWidth="1"/>
    <col min="9996" max="9996" width="2.109375" style="758" customWidth="1"/>
    <col min="9997" max="9997" width="23.88671875" style="758" customWidth="1"/>
    <col min="9998" max="9998" width="2.109375" style="758" customWidth="1"/>
    <col min="9999" max="9999" width="23.88671875" style="758" customWidth="1"/>
    <col min="10000" max="10000" width="2.88671875" style="758" bestFit="1" customWidth="1"/>
    <col min="10001" max="10239" width="8.88671875" style="758"/>
    <col min="10240" max="10241" width="8.88671875" style="758" customWidth="1"/>
    <col min="10242" max="10242" width="10.109375" style="758" customWidth="1"/>
    <col min="10243" max="10243" width="2.109375" style="758" customWidth="1"/>
    <col min="10244" max="10244" width="50.44140625" style="758" customWidth="1"/>
    <col min="10245" max="10245" width="8.88671875" style="758"/>
    <col min="10246" max="10246" width="2.109375" style="758" customWidth="1"/>
    <col min="10247" max="10247" width="23.88671875" style="758" customWidth="1"/>
    <col min="10248" max="10248" width="2.109375" style="758" customWidth="1"/>
    <col min="10249" max="10249" width="23.88671875" style="758" customWidth="1"/>
    <col min="10250" max="10250" width="2.109375" style="758" customWidth="1"/>
    <col min="10251" max="10251" width="23.88671875" style="758" customWidth="1"/>
    <col min="10252" max="10252" width="2.109375" style="758" customWidth="1"/>
    <col min="10253" max="10253" width="23.88671875" style="758" customWidth="1"/>
    <col min="10254" max="10254" width="2.109375" style="758" customWidth="1"/>
    <col min="10255" max="10255" width="23.88671875" style="758" customWidth="1"/>
    <col min="10256" max="10256" width="2.88671875" style="758" bestFit="1" customWidth="1"/>
    <col min="10257" max="10495" width="8.88671875" style="758"/>
    <col min="10496" max="10497" width="8.88671875" style="758" customWidth="1"/>
    <col min="10498" max="10498" width="10.109375" style="758" customWidth="1"/>
    <col min="10499" max="10499" width="2.109375" style="758" customWidth="1"/>
    <col min="10500" max="10500" width="50.44140625" style="758" customWidth="1"/>
    <col min="10501" max="10501" width="8.88671875" style="758"/>
    <col min="10502" max="10502" width="2.109375" style="758" customWidth="1"/>
    <col min="10503" max="10503" width="23.88671875" style="758" customWidth="1"/>
    <col min="10504" max="10504" width="2.109375" style="758" customWidth="1"/>
    <col min="10505" max="10505" width="23.88671875" style="758" customWidth="1"/>
    <col min="10506" max="10506" width="2.109375" style="758" customWidth="1"/>
    <col min="10507" max="10507" width="23.88671875" style="758" customWidth="1"/>
    <col min="10508" max="10508" width="2.109375" style="758" customWidth="1"/>
    <col min="10509" max="10509" width="23.88671875" style="758" customWidth="1"/>
    <col min="10510" max="10510" width="2.109375" style="758" customWidth="1"/>
    <col min="10511" max="10511" width="23.88671875" style="758" customWidth="1"/>
    <col min="10512" max="10512" width="2.88671875" style="758" bestFit="1" customWidth="1"/>
    <col min="10513" max="10751" width="8.88671875" style="758"/>
    <col min="10752" max="10753" width="8.88671875" style="758" customWidth="1"/>
    <col min="10754" max="10754" width="10.109375" style="758" customWidth="1"/>
    <col min="10755" max="10755" width="2.109375" style="758" customWidth="1"/>
    <col min="10756" max="10756" width="50.44140625" style="758" customWidth="1"/>
    <col min="10757" max="10757" width="8.88671875" style="758"/>
    <col min="10758" max="10758" width="2.109375" style="758" customWidth="1"/>
    <col min="10759" max="10759" width="23.88671875" style="758" customWidth="1"/>
    <col min="10760" max="10760" width="2.109375" style="758" customWidth="1"/>
    <col min="10761" max="10761" width="23.88671875" style="758" customWidth="1"/>
    <col min="10762" max="10762" width="2.109375" style="758" customWidth="1"/>
    <col min="10763" max="10763" width="23.88671875" style="758" customWidth="1"/>
    <col min="10764" max="10764" width="2.109375" style="758" customWidth="1"/>
    <col min="10765" max="10765" width="23.88671875" style="758" customWidth="1"/>
    <col min="10766" max="10766" width="2.109375" style="758" customWidth="1"/>
    <col min="10767" max="10767" width="23.88671875" style="758" customWidth="1"/>
    <col min="10768" max="10768" width="2.88671875" style="758" bestFit="1" customWidth="1"/>
    <col min="10769" max="11007" width="8.88671875" style="758"/>
    <col min="11008" max="11009" width="8.88671875" style="758" customWidth="1"/>
    <col min="11010" max="11010" width="10.109375" style="758" customWidth="1"/>
    <col min="11011" max="11011" width="2.109375" style="758" customWidth="1"/>
    <col min="11012" max="11012" width="50.44140625" style="758" customWidth="1"/>
    <col min="11013" max="11013" width="8.88671875" style="758"/>
    <col min="11014" max="11014" width="2.109375" style="758" customWidth="1"/>
    <col min="11015" max="11015" width="23.88671875" style="758" customWidth="1"/>
    <col min="11016" max="11016" width="2.109375" style="758" customWidth="1"/>
    <col min="11017" max="11017" width="23.88671875" style="758" customWidth="1"/>
    <col min="11018" max="11018" width="2.109375" style="758" customWidth="1"/>
    <col min="11019" max="11019" width="23.88671875" style="758" customWidth="1"/>
    <col min="11020" max="11020" width="2.109375" style="758" customWidth="1"/>
    <col min="11021" max="11021" width="23.88671875" style="758" customWidth="1"/>
    <col min="11022" max="11022" width="2.109375" style="758" customWidth="1"/>
    <col min="11023" max="11023" width="23.88671875" style="758" customWidth="1"/>
    <col min="11024" max="11024" width="2.88671875" style="758" bestFit="1" customWidth="1"/>
    <col min="11025" max="11263" width="8.88671875" style="758"/>
    <col min="11264" max="11265" width="8.88671875" style="758" customWidth="1"/>
    <col min="11266" max="11266" width="10.109375" style="758" customWidth="1"/>
    <col min="11267" max="11267" width="2.109375" style="758" customWidth="1"/>
    <col min="11268" max="11268" width="50.44140625" style="758" customWidth="1"/>
    <col min="11269" max="11269" width="8.88671875" style="758"/>
    <col min="11270" max="11270" width="2.109375" style="758" customWidth="1"/>
    <col min="11271" max="11271" width="23.88671875" style="758" customWidth="1"/>
    <col min="11272" max="11272" width="2.109375" style="758" customWidth="1"/>
    <col min="11273" max="11273" width="23.88671875" style="758" customWidth="1"/>
    <col min="11274" max="11274" width="2.109375" style="758" customWidth="1"/>
    <col min="11275" max="11275" width="23.88671875" style="758" customWidth="1"/>
    <col min="11276" max="11276" width="2.109375" style="758" customWidth="1"/>
    <col min="11277" max="11277" width="23.88671875" style="758" customWidth="1"/>
    <col min="11278" max="11278" width="2.109375" style="758" customWidth="1"/>
    <col min="11279" max="11279" width="23.88671875" style="758" customWidth="1"/>
    <col min="11280" max="11280" width="2.88671875" style="758" bestFit="1" customWidth="1"/>
    <col min="11281" max="11519" width="8.88671875" style="758"/>
    <col min="11520" max="11521" width="8.88671875" style="758" customWidth="1"/>
    <col min="11522" max="11522" width="10.109375" style="758" customWidth="1"/>
    <col min="11523" max="11523" width="2.109375" style="758" customWidth="1"/>
    <col min="11524" max="11524" width="50.44140625" style="758" customWidth="1"/>
    <col min="11525" max="11525" width="8.88671875" style="758"/>
    <col min="11526" max="11526" width="2.109375" style="758" customWidth="1"/>
    <col min="11527" max="11527" width="23.88671875" style="758" customWidth="1"/>
    <col min="11528" max="11528" width="2.109375" style="758" customWidth="1"/>
    <col min="11529" max="11529" width="23.88671875" style="758" customWidth="1"/>
    <col min="11530" max="11530" width="2.109375" style="758" customWidth="1"/>
    <col min="11531" max="11531" width="23.88671875" style="758" customWidth="1"/>
    <col min="11532" max="11532" width="2.109375" style="758" customWidth="1"/>
    <col min="11533" max="11533" width="23.88671875" style="758" customWidth="1"/>
    <col min="11534" max="11534" width="2.109375" style="758" customWidth="1"/>
    <col min="11535" max="11535" width="23.88671875" style="758" customWidth="1"/>
    <col min="11536" max="11536" width="2.88671875" style="758" bestFit="1" customWidth="1"/>
    <col min="11537" max="11775" width="8.88671875" style="758"/>
    <col min="11776" max="11777" width="8.88671875" style="758" customWidth="1"/>
    <col min="11778" max="11778" width="10.109375" style="758" customWidth="1"/>
    <col min="11779" max="11779" width="2.109375" style="758" customWidth="1"/>
    <col min="11780" max="11780" width="50.44140625" style="758" customWidth="1"/>
    <col min="11781" max="11781" width="8.88671875" style="758"/>
    <col min="11782" max="11782" width="2.109375" style="758" customWidth="1"/>
    <col min="11783" max="11783" width="23.88671875" style="758" customWidth="1"/>
    <col min="11784" max="11784" width="2.109375" style="758" customWidth="1"/>
    <col min="11785" max="11785" width="23.88671875" style="758" customWidth="1"/>
    <col min="11786" max="11786" width="2.109375" style="758" customWidth="1"/>
    <col min="11787" max="11787" width="23.88671875" style="758" customWidth="1"/>
    <col min="11788" max="11788" width="2.109375" style="758" customWidth="1"/>
    <col min="11789" max="11789" width="23.88671875" style="758" customWidth="1"/>
    <col min="11790" max="11790" width="2.109375" style="758" customWidth="1"/>
    <col min="11791" max="11791" width="23.88671875" style="758" customWidth="1"/>
    <col min="11792" max="11792" width="2.88671875" style="758" bestFit="1" customWidth="1"/>
    <col min="11793" max="12031" width="8.88671875" style="758"/>
    <col min="12032" max="12033" width="8.88671875" style="758" customWidth="1"/>
    <col min="12034" max="12034" width="10.109375" style="758" customWidth="1"/>
    <col min="12035" max="12035" width="2.109375" style="758" customWidth="1"/>
    <col min="12036" max="12036" width="50.44140625" style="758" customWidth="1"/>
    <col min="12037" max="12037" width="8.88671875" style="758"/>
    <col min="12038" max="12038" width="2.109375" style="758" customWidth="1"/>
    <col min="12039" max="12039" width="23.88671875" style="758" customWidth="1"/>
    <col min="12040" max="12040" width="2.109375" style="758" customWidth="1"/>
    <col min="12041" max="12041" width="23.88671875" style="758" customWidth="1"/>
    <col min="12042" max="12042" width="2.109375" style="758" customWidth="1"/>
    <col min="12043" max="12043" width="23.88671875" style="758" customWidth="1"/>
    <col min="12044" max="12044" width="2.109375" style="758" customWidth="1"/>
    <col min="12045" max="12045" width="23.88671875" style="758" customWidth="1"/>
    <col min="12046" max="12046" width="2.109375" style="758" customWidth="1"/>
    <col min="12047" max="12047" width="23.88671875" style="758" customWidth="1"/>
    <col min="12048" max="12048" width="2.88671875" style="758" bestFit="1" customWidth="1"/>
    <col min="12049" max="12287" width="8.88671875" style="758"/>
    <col min="12288" max="12289" width="8.88671875" style="758" customWidth="1"/>
    <col min="12290" max="12290" width="10.109375" style="758" customWidth="1"/>
    <col min="12291" max="12291" width="2.109375" style="758" customWidth="1"/>
    <col min="12292" max="12292" width="50.44140625" style="758" customWidth="1"/>
    <col min="12293" max="12293" width="8.88671875" style="758"/>
    <col min="12294" max="12294" width="2.109375" style="758" customWidth="1"/>
    <col min="12295" max="12295" width="23.88671875" style="758" customWidth="1"/>
    <col min="12296" max="12296" width="2.109375" style="758" customWidth="1"/>
    <col min="12297" max="12297" width="23.88671875" style="758" customWidth="1"/>
    <col min="12298" max="12298" width="2.109375" style="758" customWidth="1"/>
    <col min="12299" max="12299" width="23.88671875" style="758" customWidth="1"/>
    <col min="12300" max="12300" width="2.109375" style="758" customWidth="1"/>
    <col min="12301" max="12301" width="23.88671875" style="758" customWidth="1"/>
    <col min="12302" max="12302" width="2.109375" style="758" customWidth="1"/>
    <col min="12303" max="12303" width="23.88671875" style="758" customWidth="1"/>
    <col min="12304" max="12304" width="2.88671875" style="758" bestFit="1" customWidth="1"/>
    <col min="12305" max="12543" width="8.88671875" style="758"/>
    <col min="12544" max="12545" width="8.88671875" style="758" customWidth="1"/>
    <col min="12546" max="12546" width="10.109375" style="758" customWidth="1"/>
    <col min="12547" max="12547" width="2.109375" style="758" customWidth="1"/>
    <col min="12548" max="12548" width="50.44140625" style="758" customWidth="1"/>
    <col min="12549" max="12549" width="8.88671875" style="758"/>
    <col min="12550" max="12550" width="2.109375" style="758" customWidth="1"/>
    <col min="12551" max="12551" width="23.88671875" style="758" customWidth="1"/>
    <col min="12552" max="12552" width="2.109375" style="758" customWidth="1"/>
    <col min="12553" max="12553" width="23.88671875" style="758" customWidth="1"/>
    <col min="12554" max="12554" width="2.109375" style="758" customWidth="1"/>
    <col min="12555" max="12555" width="23.88671875" style="758" customWidth="1"/>
    <col min="12556" max="12556" width="2.109375" style="758" customWidth="1"/>
    <col min="12557" max="12557" width="23.88671875" style="758" customWidth="1"/>
    <col min="12558" max="12558" width="2.109375" style="758" customWidth="1"/>
    <col min="12559" max="12559" width="23.88671875" style="758" customWidth="1"/>
    <col min="12560" max="12560" width="2.88671875" style="758" bestFit="1" customWidth="1"/>
    <col min="12561" max="12799" width="8.88671875" style="758"/>
    <col min="12800" max="12801" width="8.88671875" style="758" customWidth="1"/>
    <col min="12802" max="12802" width="10.109375" style="758" customWidth="1"/>
    <col min="12803" max="12803" width="2.109375" style="758" customWidth="1"/>
    <col min="12804" max="12804" width="50.44140625" style="758" customWidth="1"/>
    <col min="12805" max="12805" width="8.88671875" style="758"/>
    <col min="12806" max="12806" width="2.109375" style="758" customWidth="1"/>
    <col min="12807" max="12807" width="23.88671875" style="758" customWidth="1"/>
    <col min="12808" max="12808" width="2.109375" style="758" customWidth="1"/>
    <col min="12809" max="12809" width="23.88671875" style="758" customWidth="1"/>
    <col min="12810" max="12810" width="2.109375" style="758" customWidth="1"/>
    <col min="12811" max="12811" width="23.88671875" style="758" customWidth="1"/>
    <col min="12812" max="12812" width="2.109375" style="758" customWidth="1"/>
    <col min="12813" max="12813" width="23.88671875" style="758" customWidth="1"/>
    <col min="12814" max="12814" width="2.109375" style="758" customWidth="1"/>
    <col min="12815" max="12815" width="23.88671875" style="758" customWidth="1"/>
    <col min="12816" max="12816" width="2.88671875" style="758" bestFit="1" customWidth="1"/>
    <col min="12817" max="13055" width="8.88671875" style="758"/>
    <col min="13056" max="13057" width="8.88671875" style="758" customWidth="1"/>
    <col min="13058" max="13058" width="10.109375" style="758" customWidth="1"/>
    <col min="13059" max="13059" width="2.109375" style="758" customWidth="1"/>
    <col min="13060" max="13060" width="50.44140625" style="758" customWidth="1"/>
    <col min="13061" max="13061" width="8.88671875" style="758"/>
    <col min="13062" max="13062" width="2.109375" style="758" customWidth="1"/>
    <col min="13063" max="13063" width="23.88671875" style="758" customWidth="1"/>
    <col min="13064" max="13064" width="2.109375" style="758" customWidth="1"/>
    <col min="13065" max="13065" width="23.88671875" style="758" customWidth="1"/>
    <col min="13066" max="13066" width="2.109375" style="758" customWidth="1"/>
    <col min="13067" max="13067" width="23.88671875" style="758" customWidth="1"/>
    <col min="13068" max="13068" width="2.109375" style="758" customWidth="1"/>
    <col min="13069" max="13069" width="23.88671875" style="758" customWidth="1"/>
    <col min="13070" max="13070" width="2.109375" style="758" customWidth="1"/>
    <col min="13071" max="13071" width="23.88671875" style="758" customWidth="1"/>
    <col min="13072" max="13072" width="2.88671875" style="758" bestFit="1" customWidth="1"/>
    <col min="13073" max="13311" width="8.88671875" style="758"/>
    <col min="13312" max="13313" width="8.88671875" style="758" customWidth="1"/>
    <col min="13314" max="13314" width="10.109375" style="758" customWidth="1"/>
    <col min="13315" max="13315" width="2.109375" style="758" customWidth="1"/>
    <col min="13316" max="13316" width="50.44140625" style="758" customWidth="1"/>
    <col min="13317" max="13317" width="8.88671875" style="758"/>
    <col min="13318" max="13318" width="2.109375" style="758" customWidth="1"/>
    <col min="13319" max="13319" width="23.88671875" style="758" customWidth="1"/>
    <col min="13320" max="13320" width="2.109375" style="758" customWidth="1"/>
    <col min="13321" max="13321" width="23.88671875" style="758" customWidth="1"/>
    <col min="13322" max="13322" width="2.109375" style="758" customWidth="1"/>
    <col min="13323" max="13323" width="23.88671875" style="758" customWidth="1"/>
    <col min="13324" max="13324" width="2.109375" style="758" customWidth="1"/>
    <col min="13325" max="13325" width="23.88671875" style="758" customWidth="1"/>
    <col min="13326" max="13326" width="2.109375" style="758" customWidth="1"/>
    <col min="13327" max="13327" width="23.88671875" style="758" customWidth="1"/>
    <col min="13328" max="13328" width="2.88671875" style="758" bestFit="1" customWidth="1"/>
    <col min="13329" max="13567" width="8.88671875" style="758"/>
    <col min="13568" max="13569" width="8.88671875" style="758" customWidth="1"/>
    <col min="13570" max="13570" width="10.109375" style="758" customWidth="1"/>
    <col min="13571" max="13571" width="2.109375" style="758" customWidth="1"/>
    <col min="13572" max="13572" width="50.44140625" style="758" customWidth="1"/>
    <col min="13573" max="13573" width="8.88671875" style="758"/>
    <col min="13574" max="13574" width="2.109375" style="758" customWidth="1"/>
    <col min="13575" max="13575" width="23.88671875" style="758" customWidth="1"/>
    <col min="13576" max="13576" width="2.109375" style="758" customWidth="1"/>
    <col min="13577" max="13577" width="23.88671875" style="758" customWidth="1"/>
    <col min="13578" max="13578" width="2.109375" style="758" customWidth="1"/>
    <col min="13579" max="13579" width="23.88671875" style="758" customWidth="1"/>
    <col min="13580" max="13580" width="2.109375" style="758" customWidth="1"/>
    <col min="13581" max="13581" width="23.88671875" style="758" customWidth="1"/>
    <col min="13582" max="13582" width="2.109375" style="758" customWidth="1"/>
    <col min="13583" max="13583" width="23.88671875" style="758" customWidth="1"/>
    <col min="13584" max="13584" width="2.88671875" style="758" bestFit="1" customWidth="1"/>
    <col min="13585" max="13823" width="8.88671875" style="758"/>
    <col min="13824" max="13825" width="8.88671875" style="758" customWidth="1"/>
    <col min="13826" max="13826" width="10.109375" style="758" customWidth="1"/>
    <col min="13827" max="13827" width="2.109375" style="758" customWidth="1"/>
    <col min="13828" max="13828" width="50.44140625" style="758" customWidth="1"/>
    <col min="13829" max="13829" width="8.88671875" style="758"/>
    <col min="13830" max="13830" width="2.109375" style="758" customWidth="1"/>
    <col min="13831" max="13831" width="23.88671875" style="758" customWidth="1"/>
    <col min="13832" max="13832" width="2.109375" style="758" customWidth="1"/>
    <col min="13833" max="13833" width="23.88671875" style="758" customWidth="1"/>
    <col min="13834" max="13834" width="2.109375" style="758" customWidth="1"/>
    <col min="13835" max="13835" width="23.88671875" style="758" customWidth="1"/>
    <col min="13836" max="13836" width="2.109375" style="758" customWidth="1"/>
    <col min="13837" max="13837" width="23.88671875" style="758" customWidth="1"/>
    <col min="13838" max="13838" width="2.109375" style="758" customWidth="1"/>
    <col min="13839" max="13839" width="23.88671875" style="758" customWidth="1"/>
    <col min="13840" max="13840" width="2.88671875" style="758" bestFit="1" customWidth="1"/>
    <col min="13841" max="14079" width="8.88671875" style="758"/>
    <col min="14080" max="14081" width="8.88671875" style="758" customWidth="1"/>
    <col min="14082" max="14082" width="10.109375" style="758" customWidth="1"/>
    <col min="14083" max="14083" width="2.109375" style="758" customWidth="1"/>
    <col min="14084" max="14084" width="50.44140625" style="758" customWidth="1"/>
    <col min="14085" max="14085" width="8.88671875" style="758"/>
    <col min="14086" max="14086" width="2.109375" style="758" customWidth="1"/>
    <col min="14087" max="14087" width="23.88671875" style="758" customWidth="1"/>
    <col min="14088" max="14088" width="2.109375" style="758" customWidth="1"/>
    <col min="14089" max="14089" width="23.88671875" style="758" customWidth="1"/>
    <col min="14090" max="14090" width="2.109375" style="758" customWidth="1"/>
    <col min="14091" max="14091" width="23.88671875" style="758" customWidth="1"/>
    <col min="14092" max="14092" width="2.109375" style="758" customWidth="1"/>
    <col min="14093" max="14093" width="23.88671875" style="758" customWidth="1"/>
    <col min="14094" max="14094" width="2.109375" style="758" customWidth="1"/>
    <col min="14095" max="14095" width="23.88671875" style="758" customWidth="1"/>
    <col min="14096" max="14096" width="2.88671875" style="758" bestFit="1" customWidth="1"/>
    <col min="14097" max="14335" width="8.88671875" style="758"/>
    <col min="14336" max="14337" width="8.88671875" style="758" customWidth="1"/>
    <col min="14338" max="14338" width="10.109375" style="758" customWidth="1"/>
    <col min="14339" max="14339" width="2.109375" style="758" customWidth="1"/>
    <col min="14340" max="14340" width="50.44140625" style="758" customWidth="1"/>
    <col min="14341" max="14341" width="8.88671875" style="758"/>
    <col min="14342" max="14342" width="2.109375" style="758" customWidth="1"/>
    <col min="14343" max="14343" width="23.88671875" style="758" customWidth="1"/>
    <col min="14344" max="14344" width="2.109375" style="758" customWidth="1"/>
    <col min="14345" max="14345" width="23.88671875" style="758" customWidth="1"/>
    <col min="14346" max="14346" width="2.109375" style="758" customWidth="1"/>
    <col min="14347" max="14347" width="23.88671875" style="758" customWidth="1"/>
    <col min="14348" max="14348" width="2.109375" style="758" customWidth="1"/>
    <col min="14349" max="14349" width="23.88671875" style="758" customWidth="1"/>
    <col min="14350" max="14350" width="2.109375" style="758" customWidth="1"/>
    <col min="14351" max="14351" width="23.88671875" style="758" customWidth="1"/>
    <col min="14352" max="14352" width="2.88671875" style="758" bestFit="1" customWidth="1"/>
    <col min="14353" max="14591" width="8.88671875" style="758"/>
    <col min="14592" max="14593" width="8.88671875" style="758" customWidth="1"/>
    <col min="14594" max="14594" width="10.109375" style="758" customWidth="1"/>
    <col min="14595" max="14595" width="2.109375" style="758" customWidth="1"/>
    <col min="14596" max="14596" width="50.44140625" style="758" customWidth="1"/>
    <col min="14597" max="14597" width="8.88671875" style="758"/>
    <col min="14598" max="14598" width="2.109375" style="758" customWidth="1"/>
    <col min="14599" max="14599" width="23.88671875" style="758" customWidth="1"/>
    <col min="14600" max="14600" width="2.109375" style="758" customWidth="1"/>
    <col min="14601" max="14601" width="23.88671875" style="758" customWidth="1"/>
    <col min="14602" max="14602" width="2.109375" style="758" customWidth="1"/>
    <col min="14603" max="14603" width="23.88671875" style="758" customWidth="1"/>
    <col min="14604" max="14604" width="2.109375" style="758" customWidth="1"/>
    <col min="14605" max="14605" width="23.88671875" style="758" customWidth="1"/>
    <col min="14606" max="14606" width="2.109375" style="758" customWidth="1"/>
    <col min="14607" max="14607" width="23.88671875" style="758" customWidth="1"/>
    <col min="14608" max="14608" width="2.88671875" style="758" bestFit="1" customWidth="1"/>
    <col min="14609" max="14847" width="8.88671875" style="758"/>
    <col min="14848" max="14849" width="8.88671875" style="758" customWidth="1"/>
    <col min="14850" max="14850" width="10.109375" style="758" customWidth="1"/>
    <col min="14851" max="14851" width="2.109375" style="758" customWidth="1"/>
    <col min="14852" max="14852" width="50.44140625" style="758" customWidth="1"/>
    <col min="14853" max="14853" width="8.88671875" style="758"/>
    <col min="14854" max="14854" width="2.109375" style="758" customWidth="1"/>
    <col min="14855" max="14855" width="23.88671875" style="758" customWidth="1"/>
    <col min="14856" max="14856" width="2.109375" style="758" customWidth="1"/>
    <col min="14857" max="14857" width="23.88671875" style="758" customWidth="1"/>
    <col min="14858" max="14858" width="2.109375" style="758" customWidth="1"/>
    <col min="14859" max="14859" width="23.88671875" style="758" customWidth="1"/>
    <col min="14860" max="14860" width="2.109375" style="758" customWidth="1"/>
    <col min="14861" max="14861" width="23.88671875" style="758" customWidth="1"/>
    <col min="14862" max="14862" width="2.109375" style="758" customWidth="1"/>
    <col min="14863" max="14863" width="23.88671875" style="758" customWidth="1"/>
    <col min="14864" max="14864" width="2.88671875" style="758" bestFit="1" customWidth="1"/>
    <col min="14865" max="15103" width="8.88671875" style="758"/>
    <col min="15104" max="15105" width="8.88671875" style="758" customWidth="1"/>
    <col min="15106" max="15106" width="10.109375" style="758" customWidth="1"/>
    <col min="15107" max="15107" width="2.109375" style="758" customWidth="1"/>
    <col min="15108" max="15108" width="50.44140625" style="758" customWidth="1"/>
    <col min="15109" max="15109" width="8.88671875" style="758"/>
    <col min="15110" max="15110" width="2.109375" style="758" customWidth="1"/>
    <col min="15111" max="15111" width="23.88671875" style="758" customWidth="1"/>
    <col min="15112" max="15112" width="2.109375" style="758" customWidth="1"/>
    <col min="15113" max="15113" width="23.88671875" style="758" customWidth="1"/>
    <col min="15114" max="15114" width="2.109375" style="758" customWidth="1"/>
    <col min="15115" max="15115" width="23.88671875" style="758" customWidth="1"/>
    <col min="15116" max="15116" width="2.109375" style="758" customWidth="1"/>
    <col min="15117" max="15117" width="23.88671875" style="758" customWidth="1"/>
    <col min="15118" max="15118" width="2.109375" style="758" customWidth="1"/>
    <col min="15119" max="15119" width="23.88671875" style="758" customWidth="1"/>
    <col min="15120" max="15120" width="2.88671875" style="758" bestFit="1" customWidth="1"/>
    <col min="15121" max="15359" width="8.88671875" style="758"/>
    <col min="15360" max="15361" width="8.88671875" style="758" customWidth="1"/>
    <col min="15362" max="15362" width="10.109375" style="758" customWidth="1"/>
    <col min="15363" max="15363" width="2.109375" style="758" customWidth="1"/>
    <col min="15364" max="15364" width="50.44140625" style="758" customWidth="1"/>
    <col min="15365" max="15365" width="8.88671875" style="758"/>
    <col min="15366" max="15366" width="2.109375" style="758" customWidth="1"/>
    <col min="15367" max="15367" width="23.88671875" style="758" customWidth="1"/>
    <col min="15368" max="15368" width="2.109375" style="758" customWidth="1"/>
    <col min="15369" max="15369" width="23.88671875" style="758" customWidth="1"/>
    <col min="15370" max="15370" width="2.109375" style="758" customWidth="1"/>
    <col min="15371" max="15371" width="23.88671875" style="758" customWidth="1"/>
    <col min="15372" max="15372" width="2.109375" style="758" customWidth="1"/>
    <col min="15373" max="15373" width="23.88671875" style="758" customWidth="1"/>
    <col min="15374" max="15374" width="2.109375" style="758" customWidth="1"/>
    <col min="15375" max="15375" width="23.88671875" style="758" customWidth="1"/>
    <col min="15376" max="15376" width="2.88671875" style="758" bestFit="1" customWidth="1"/>
    <col min="15377" max="15615" width="8.88671875" style="758"/>
    <col min="15616" max="15617" width="8.88671875" style="758" customWidth="1"/>
    <col min="15618" max="15618" width="10.109375" style="758" customWidth="1"/>
    <col min="15619" max="15619" width="2.109375" style="758" customWidth="1"/>
    <col min="15620" max="15620" width="50.44140625" style="758" customWidth="1"/>
    <col min="15621" max="15621" width="8.88671875" style="758"/>
    <col min="15622" max="15622" width="2.109375" style="758" customWidth="1"/>
    <col min="15623" max="15623" width="23.88671875" style="758" customWidth="1"/>
    <col min="15624" max="15624" width="2.109375" style="758" customWidth="1"/>
    <col min="15625" max="15625" width="23.88671875" style="758" customWidth="1"/>
    <col min="15626" max="15626" width="2.109375" style="758" customWidth="1"/>
    <col min="15627" max="15627" width="23.88671875" style="758" customWidth="1"/>
    <col min="15628" max="15628" width="2.109375" style="758" customWidth="1"/>
    <col min="15629" max="15629" width="23.88671875" style="758" customWidth="1"/>
    <col min="15630" max="15630" width="2.109375" style="758" customWidth="1"/>
    <col min="15631" max="15631" width="23.88671875" style="758" customWidth="1"/>
    <col min="15632" max="15632" width="2.88671875" style="758" bestFit="1" customWidth="1"/>
    <col min="15633" max="15871" width="8.88671875" style="758"/>
    <col min="15872" max="15873" width="8.88671875" style="758" customWidth="1"/>
    <col min="15874" max="15874" width="10.109375" style="758" customWidth="1"/>
    <col min="15875" max="15875" width="2.109375" style="758" customWidth="1"/>
    <col min="15876" max="15876" width="50.44140625" style="758" customWidth="1"/>
    <col min="15877" max="15877" width="8.88671875" style="758"/>
    <col min="15878" max="15878" width="2.109375" style="758" customWidth="1"/>
    <col min="15879" max="15879" width="23.88671875" style="758" customWidth="1"/>
    <col min="15880" max="15880" width="2.109375" style="758" customWidth="1"/>
    <col min="15881" max="15881" width="23.88671875" style="758" customWidth="1"/>
    <col min="15882" max="15882" width="2.109375" style="758" customWidth="1"/>
    <col min="15883" max="15883" width="23.88671875" style="758" customWidth="1"/>
    <col min="15884" max="15884" width="2.109375" style="758" customWidth="1"/>
    <col min="15885" max="15885" width="23.88671875" style="758" customWidth="1"/>
    <col min="15886" max="15886" width="2.109375" style="758" customWidth="1"/>
    <col min="15887" max="15887" width="23.88671875" style="758" customWidth="1"/>
    <col min="15888" max="15888" width="2.88671875" style="758" bestFit="1" customWidth="1"/>
    <col min="15889" max="16127" width="8.88671875" style="758"/>
    <col min="16128" max="16129" width="8.88671875" style="758" customWidth="1"/>
    <col min="16130" max="16130" width="10.109375" style="758" customWidth="1"/>
    <col min="16131" max="16131" width="2.109375" style="758" customWidth="1"/>
    <col min="16132" max="16132" width="50.44140625" style="758" customWidth="1"/>
    <col min="16133" max="16133" width="8.88671875" style="758"/>
    <col min="16134" max="16134" width="2.109375" style="758" customWidth="1"/>
    <col min="16135" max="16135" width="23.88671875" style="758" customWidth="1"/>
    <col min="16136" max="16136" width="2.109375" style="758" customWidth="1"/>
    <col min="16137" max="16137" width="23.88671875" style="758" customWidth="1"/>
    <col min="16138" max="16138" width="2.109375" style="758" customWidth="1"/>
    <col min="16139" max="16139" width="23.88671875" style="758" customWidth="1"/>
    <col min="16140" max="16140" width="2.109375" style="758" customWidth="1"/>
    <col min="16141" max="16141" width="23.88671875" style="758" customWidth="1"/>
    <col min="16142" max="16142" width="2.109375" style="758" customWidth="1"/>
    <col min="16143" max="16143" width="23.88671875" style="758" customWidth="1"/>
    <col min="16144" max="16144" width="2.88671875" style="758" bestFit="1" customWidth="1"/>
    <col min="16145" max="16384" width="8.88671875" style="758"/>
  </cols>
  <sheetData>
    <row r="1" spans="2:31" ht="15.75">
      <c r="B1" s="433"/>
      <c r="C1" s="433"/>
      <c r="D1" s="284" t="s">
        <v>97</v>
      </c>
      <c r="E1" s="433"/>
      <c r="F1" s="757"/>
      <c r="G1" s="433"/>
      <c r="H1" s="433"/>
      <c r="I1" s="433"/>
      <c r="J1" s="433"/>
      <c r="K1" s="433"/>
      <c r="L1" s="433"/>
      <c r="M1" s="433"/>
      <c r="N1" s="433"/>
      <c r="O1" s="1093"/>
      <c r="P1" s="759"/>
      <c r="Q1" s="1093"/>
      <c r="R1" s="1093"/>
      <c r="S1" s="1093"/>
      <c r="T1" s="1093"/>
      <c r="U1" s="1093"/>
      <c r="V1" s="1093"/>
      <c r="W1" s="1093"/>
      <c r="X1" s="1093"/>
      <c r="Y1" s="1093"/>
      <c r="Z1" s="1093"/>
      <c r="AA1" s="1093"/>
      <c r="AB1" s="1093"/>
      <c r="AC1" s="1093"/>
      <c r="AD1" s="1093"/>
      <c r="AE1" s="1093"/>
    </row>
    <row r="2" spans="2:31" ht="15.75">
      <c r="B2" s="433"/>
      <c r="C2" s="433"/>
      <c r="D2" s="433"/>
      <c r="E2" s="433"/>
      <c r="F2" s="757"/>
      <c r="G2" s="433"/>
      <c r="H2" s="433"/>
      <c r="I2" s="433"/>
      <c r="J2" s="433"/>
      <c r="K2" s="433"/>
      <c r="L2" s="433"/>
      <c r="M2" s="433"/>
      <c r="N2" s="433"/>
      <c r="O2" s="1979" t="s">
        <v>1061</v>
      </c>
      <c r="P2" s="759"/>
      <c r="Q2" s="1093"/>
      <c r="R2" s="1093"/>
      <c r="S2" s="1093"/>
      <c r="T2" s="1093"/>
      <c r="U2" s="1093"/>
      <c r="V2" s="1093"/>
      <c r="W2" s="1093"/>
      <c r="X2" s="1093"/>
      <c r="Y2" s="1093"/>
      <c r="Z2" s="1093"/>
      <c r="AA2" s="1093"/>
      <c r="AB2" s="1093"/>
      <c r="AC2" s="1093"/>
      <c r="AD2" s="1093"/>
      <c r="AE2" s="1093"/>
    </row>
    <row r="3" spans="2:31" ht="15.75">
      <c r="B3" s="433"/>
      <c r="C3" s="433"/>
      <c r="D3" s="433"/>
      <c r="E3" s="433"/>
      <c r="F3" s="757"/>
      <c r="G3" s="433"/>
      <c r="H3" s="433"/>
      <c r="I3" s="433"/>
      <c r="J3" s="433"/>
      <c r="K3" s="433"/>
      <c r="L3" s="433"/>
      <c r="M3" s="433"/>
      <c r="N3" s="433"/>
      <c r="O3" s="1980"/>
      <c r="P3" s="1180"/>
      <c r="Q3" s="1093"/>
      <c r="R3" s="1093"/>
      <c r="S3" s="1093"/>
      <c r="T3" s="1093"/>
      <c r="U3" s="1093"/>
      <c r="V3" s="1093"/>
      <c r="W3" s="1093"/>
      <c r="X3" s="1093"/>
      <c r="Y3" s="1093"/>
      <c r="Z3" s="1093"/>
      <c r="AA3" s="1093"/>
      <c r="AB3" s="1093"/>
      <c r="AC3" s="1093"/>
      <c r="AD3" s="1093"/>
      <c r="AE3" s="1093"/>
    </row>
    <row r="4" spans="2:31" ht="18">
      <c r="B4" s="760"/>
      <c r="C4" s="761"/>
      <c r="D4" s="762" t="s">
        <v>98</v>
      </c>
      <c r="E4" s="761"/>
      <c r="F4" s="761"/>
      <c r="G4"/>
      <c r="H4"/>
      <c r="I4"/>
      <c r="J4"/>
      <c r="K4"/>
      <c r="L4"/>
      <c r="M4" s="1181"/>
      <c r="N4" s="1181"/>
      <c r="O4" s="1181"/>
      <c r="P4" s="1182"/>
      <c r="Q4" s="1093"/>
      <c r="R4" s="1093"/>
      <c r="S4" s="1093"/>
      <c r="T4" s="1093"/>
      <c r="U4" s="1093"/>
      <c r="V4" s="1093"/>
      <c r="W4" s="1093"/>
      <c r="X4" s="1093"/>
      <c r="Y4" s="1093"/>
      <c r="Z4" s="1093"/>
      <c r="AA4" s="1093"/>
      <c r="AB4" s="1093"/>
      <c r="AC4" s="1093"/>
      <c r="AD4" s="1093"/>
      <c r="AE4" s="1093"/>
    </row>
    <row r="5" spans="2:31" ht="18">
      <c r="B5" s="760"/>
      <c r="C5" s="761"/>
      <c r="D5" s="762" t="s">
        <v>1062</v>
      </c>
      <c r="E5" s="761"/>
      <c r="F5" s="761"/>
      <c r="G5"/>
      <c r="H5"/>
      <c r="I5"/>
      <c r="J5"/>
      <c r="K5"/>
      <c r="L5"/>
      <c r="M5" s="1183"/>
      <c r="N5" s="1183"/>
      <c r="O5" s="1183"/>
      <c r="P5" s="1184"/>
      <c r="Q5" s="1093"/>
      <c r="R5" s="1093"/>
      <c r="S5" s="1093"/>
      <c r="T5" s="1093"/>
      <c r="U5" s="1093"/>
      <c r="V5" s="1093"/>
      <c r="W5" s="1093"/>
      <c r="X5" s="1093"/>
      <c r="Y5" s="1093"/>
      <c r="Z5" s="1093"/>
      <c r="AA5" s="1093"/>
      <c r="AB5" s="1093"/>
      <c r="AC5" s="1093"/>
      <c r="AD5" s="1093"/>
      <c r="AE5" s="1093"/>
    </row>
    <row r="6" spans="2:31" ht="15.75">
      <c r="B6" s="760"/>
      <c r="C6" s="761"/>
      <c r="D6" s="763"/>
      <c r="E6" s="761"/>
      <c r="F6" s="761"/>
      <c r="G6"/>
      <c r="H6"/>
      <c r="I6"/>
      <c r="J6"/>
      <c r="K6"/>
      <c r="L6"/>
      <c r="M6" s="1185"/>
      <c r="N6" s="1185"/>
      <c r="O6" s="1185"/>
      <c r="P6" s="1186"/>
      <c r="Q6" s="1093"/>
      <c r="R6" s="1093"/>
      <c r="S6" s="1093"/>
      <c r="T6" s="1093"/>
      <c r="U6" s="1093"/>
      <c r="V6" s="1093"/>
      <c r="W6" s="1093"/>
      <c r="X6" s="1093"/>
      <c r="Y6" s="1093"/>
      <c r="Z6" s="1093"/>
      <c r="AA6" s="1093"/>
      <c r="AB6" s="1093"/>
      <c r="AC6" s="1093"/>
      <c r="AD6" s="1093"/>
      <c r="AE6" s="1093"/>
    </row>
    <row r="7" spans="2:31" ht="15.75">
      <c r="B7" s="760"/>
      <c r="C7" s="759"/>
      <c r="D7" s="759"/>
      <c r="E7" s="764"/>
      <c r="F7" s="764"/>
      <c r="G7"/>
      <c r="H7"/>
      <c r="I7"/>
      <c r="J7"/>
      <c r="K7"/>
      <c r="L7"/>
      <c r="M7" s="1187"/>
      <c r="N7" s="1187"/>
      <c r="O7" s="1187"/>
      <c r="P7" s="1188"/>
      <c r="Q7" s="1093"/>
      <c r="R7" s="1093"/>
      <c r="S7" s="1093"/>
      <c r="T7" s="1093"/>
      <c r="U7" s="1093"/>
      <c r="V7" s="1093"/>
      <c r="W7" s="1093"/>
      <c r="X7" s="1093"/>
      <c r="Y7" s="1093"/>
      <c r="Z7" s="1093"/>
      <c r="AA7" s="1093"/>
      <c r="AB7" s="1093"/>
      <c r="AC7" s="1093"/>
      <c r="AD7" s="1093"/>
      <c r="AE7" s="1093"/>
    </row>
    <row r="8" spans="2:31" s="768" customFormat="1" ht="16.5" thickBot="1">
      <c r="B8" s="765" t="s">
        <v>1063</v>
      </c>
      <c r="C8" s="766"/>
      <c r="D8" s="767" t="s">
        <v>1064</v>
      </c>
      <c r="E8" s="767"/>
      <c r="F8" s="767"/>
      <c r="G8" s="1245" t="s">
        <v>1487</v>
      </c>
      <c r="H8" s="1246"/>
      <c r="I8" s="1245" t="s">
        <v>1489</v>
      </c>
      <c r="J8" s="1246"/>
      <c r="K8" s="1245" t="s">
        <v>1503</v>
      </c>
      <c r="L8" s="1246"/>
      <c r="M8" s="1246" t="s">
        <v>1065</v>
      </c>
      <c r="N8" s="1247"/>
      <c r="O8" s="1245" t="s">
        <v>1529</v>
      </c>
      <c r="P8" s="1189"/>
    </row>
    <row r="9" spans="2:31" s="768" customFormat="1" ht="15.75">
      <c r="B9" s="769"/>
      <c r="C9" s="770"/>
      <c r="D9" s="771" t="s">
        <v>443</v>
      </c>
      <c r="E9" s="772"/>
      <c r="F9" s="772"/>
      <c r="G9" s="1173"/>
      <c r="H9" s="966"/>
      <c r="I9" s="1173"/>
      <c r="J9" s="966"/>
      <c r="K9" s="1173"/>
      <c r="L9" s="966"/>
      <c r="M9" s="1173"/>
      <c r="N9" s="1173"/>
      <c r="O9" s="1173"/>
      <c r="P9" s="773"/>
    </row>
    <row r="10" spans="2:31" s="768" customFormat="1" ht="15.75">
      <c r="B10" s="774">
        <v>10050</v>
      </c>
      <c r="C10" s="769"/>
      <c r="D10" s="775" t="s">
        <v>1066</v>
      </c>
      <c r="E10"/>
      <c r="F10" s="776"/>
      <c r="G10" s="1654">
        <v>0</v>
      </c>
      <c r="H10" s="1654"/>
      <c r="I10" s="1654">
        <v>0</v>
      </c>
      <c r="J10" s="1654"/>
      <c r="K10" s="1654">
        <v>0</v>
      </c>
      <c r="L10" s="1654"/>
      <c r="M10" s="1654">
        <f>O10-K10</f>
        <v>0</v>
      </c>
      <c r="N10" s="1654"/>
      <c r="O10" s="1654">
        <v>0</v>
      </c>
      <c r="P10" s="777" t="s">
        <v>254</v>
      </c>
      <c r="Q10" s="1190"/>
    </row>
    <row r="11" spans="2:31" s="768" customFormat="1" ht="16.5" thickBot="1">
      <c r="B11" s="777"/>
      <c r="C11" s="770"/>
      <c r="D11" s="778" t="s">
        <v>1067</v>
      </c>
      <c r="E11" s="772"/>
      <c r="F11" s="772"/>
      <c r="G11" s="1655">
        <f>SUM(G10)</f>
        <v>0</v>
      </c>
      <c r="H11" s="1656"/>
      <c r="I11" s="1655">
        <f>SUM(I10)</f>
        <v>0</v>
      </c>
      <c r="J11" s="1656"/>
      <c r="K11" s="1655">
        <f>SUM(K10)</f>
        <v>0</v>
      </c>
      <c r="L11" s="1656"/>
      <c r="M11" s="1655">
        <f>SUM(M10)</f>
        <v>0</v>
      </c>
      <c r="N11" s="1656"/>
      <c r="O11" s="1655">
        <f>SUM(O10)</f>
        <v>0</v>
      </c>
      <c r="P11" s="777"/>
      <c r="Q11" s="1190"/>
    </row>
    <row r="12" spans="2:31" s="768" customFormat="1" ht="16.5" thickTop="1">
      <c r="B12" s="777"/>
      <c r="C12" s="770"/>
      <c r="D12" s="779"/>
      <c r="E12" s="772"/>
      <c r="F12" s="772"/>
      <c r="G12" s="1656"/>
      <c r="H12" s="1657"/>
      <c r="I12" s="1656"/>
      <c r="J12" s="1657"/>
      <c r="K12" s="1656"/>
      <c r="L12" s="1657"/>
      <c r="M12" s="1656"/>
      <c r="N12" s="1656"/>
      <c r="O12" s="1656"/>
      <c r="P12" s="777"/>
      <c r="Q12" s="1190"/>
    </row>
    <row r="13" spans="2:31" s="768" customFormat="1" ht="15.75">
      <c r="B13" s="777"/>
      <c r="C13" s="770"/>
      <c r="D13" s="771" t="s">
        <v>1068</v>
      </c>
      <c r="E13" s="772"/>
      <c r="F13" s="772"/>
      <c r="G13" s="1657"/>
      <c r="H13"/>
      <c r="I13" s="1657"/>
      <c r="J13"/>
      <c r="K13" s="1657"/>
      <c r="L13"/>
      <c r="M13" s="1657"/>
      <c r="N13" s="1657"/>
      <c r="O13" s="1657"/>
      <c r="P13" s="777"/>
      <c r="Q13" s="1190"/>
    </row>
    <row r="14" spans="2:31" s="768" customFormat="1" ht="15.75">
      <c r="B14" s="774">
        <v>30051</v>
      </c>
      <c r="C14" s="433"/>
      <c r="D14" s="775" t="s">
        <v>1069</v>
      </c>
      <c r="E14" s="433"/>
      <c r="F14" s="432"/>
      <c r="G14" s="432">
        <v>584897133.88</v>
      </c>
      <c r="H14" s="432"/>
      <c r="I14" s="432">
        <v>524520437.47000003</v>
      </c>
      <c r="J14" s="432"/>
      <c r="K14" s="432">
        <v>470368757.25</v>
      </c>
      <c r="L14" s="432"/>
      <c r="M14" s="432">
        <f>O14-K14</f>
        <v>47478784.069999993</v>
      </c>
      <c r="N14" s="432"/>
      <c r="O14" s="432">
        <v>517847541.31999999</v>
      </c>
      <c r="P14" s="777"/>
      <c r="Q14" s="1190"/>
    </row>
    <row r="15" spans="2:31" s="768" customFormat="1" ht="15.75">
      <c r="B15" s="774">
        <v>30101</v>
      </c>
      <c r="C15" s="757"/>
      <c r="D15" s="775" t="s">
        <v>1070</v>
      </c>
      <c r="E15" s="433"/>
      <c r="F15" s="432"/>
      <c r="G15" s="432">
        <v>0</v>
      </c>
      <c r="H15" s="432"/>
      <c r="I15" s="432">
        <v>0</v>
      </c>
      <c r="J15" s="432"/>
      <c r="K15" s="432">
        <v>0</v>
      </c>
      <c r="L15" s="432"/>
      <c r="M15" s="432">
        <f t="shared" ref="M15:M78" si="0">O15-K15</f>
        <v>0</v>
      </c>
      <c r="N15" s="432"/>
      <c r="O15" s="432">
        <v>0</v>
      </c>
      <c r="P15" s="777"/>
      <c r="Q15" s="1190"/>
    </row>
    <row r="16" spans="2:31" s="768" customFormat="1" ht="15.75">
      <c r="B16" s="774">
        <v>30102</v>
      </c>
      <c r="C16" s="433"/>
      <c r="D16" s="775" t="s">
        <v>1071</v>
      </c>
      <c r="E16" s="433"/>
      <c r="F16" s="432"/>
      <c r="G16" s="432">
        <v>0</v>
      </c>
      <c r="H16" s="432"/>
      <c r="I16" s="432">
        <v>0</v>
      </c>
      <c r="J16" s="432"/>
      <c r="K16" s="432">
        <v>0</v>
      </c>
      <c r="L16" s="432"/>
      <c r="M16" s="432">
        <f t="shared" si="0"/>
        <v>0</v>
      </c>
      <c r="N16" s="432"/>
      <c r="O16" s="432">
        <v>0</v>
      </c>
      <c r="P16" s="777"/>
      <c r="Q16" s="1190"/>
    </row>
    <row r="17" spans="2:17" s="768" customFormat="1" ht="15.75">
      <c r="B17" s="774">
        <v>30103</v>
      </c>
      <c r="C17" s="433"/>
      <c r="D17" s="775" t="s">
        <v>1072</v>
      </c>
      <c r="E17" s="433"/>
      <c r="F17" s="432"/>
      <c r="G17" s="432">
        <v>0</v>
      </c>
      <c r="H17" s="432"/>
      <c r="I17" s="432">
        <v>0</v>
      </c>
      <c r="J17" s="432"/>
      <c r="K17" s="432">
        <v>0</v>
      </c>
      <c r="L17" s="432"/>
      <c r="M17" s="432">
        <f t="shared" si="0"/>
        <v>0</v>
      </c>
      <c r="N17" s="432"/>
      <c r="O17" s="432">
        <v>0</v>
      </c>
      <c r="P17" s="777"/>
      <c r="Q17" s="1190"/>
    </row>
    <row r="18" spans="2:17" s="768" customFormat="1" ht="15.75">
      <c r="B18" s="774">
        <v>30104</v>
      </c>
      <c r="C18" s="433"/>
      <c r="D18" s="775" t="s">
        <v>1073</v>
      </c>
      <c r="E18" s="433"/>
      <c r="F18" s="432"/>
      <c r="G18" s="432">
        <v>0</v>
      </c>
      <c r="H18" s="432"/>
      <c r="I18" s="432">
        <v>0</v>
      </c>
      <c r="J18" s="432"/>
      <c r="K18" s="432">
        <v>0</v>
      </c>
      <c r="L18" s="432"/>
      <c r="M18" s="432">
        <f t="shared" si="0"/>
        <v>0</v>
      </c>
      <c r="N18" s="432"/>
      <c r="O18" s="432">
        <v>0</v>
      </c>
      <c r="P18" s="777"/>
      <c r="Q18" s="1190"/>
    </row>
    <row r="19" spans="2:17" s="768" customFormat="1" ht="15.75">
      <c r="B19" s="774">
        <v>30105</v>
      </c>
      <c r="C19" s="433"/>
      <c r="D19" s="775" t="s">
        <v>1074</v>
      </c>
      <c r="E19" s="433"/>
      <c r="F19" s="432"/>
      <c r="G19" s="432">
        <v>0</v>
      </c>
      <c r="H19" s="432"/>
      <c r="I19" s="432">
        <v>0</v>
      </c>
      <c r="J19" s="432"/>
      <c r="K19" s="432">
        <v>0</v>
      </c>
      <c r="L19" s="432"/>
      <c r="M19" s="432">
        <f t="shared" si="0"/>
        <v>0</v>
      </c>
      <c r="N19" s="432"/>
      <c r="O19" s="432">
        <v>0</v>
      </c>
      <c r="P19" s="777"/>
      <c r="Q19" s="1190"/>
    </row>
    <row r="20" spans="2:17" s="768" customFormat="1" ht="15.75">
      <c r="B20" s="774">
        <v>30106</v>
      </c>
      <c r="C20" s="433"/>
      <c r="D20" s="775" t="s">
        <v>1075</v>
      </c>
      <c r="E20" s="433"/>
      <c r="F20" s="432"/>
      <c r="G20" s="432">
        <v>0</v>
      </c>
      <c r="H20" s="432"/>
      <c r="I20" s="432">
        <v>0</v>
      </c>
      <c r="J20" s="432"/>
      <c r="K20" s="432">
        <v>0</v>
      </c>
      <c r="L20" s="432"/>
      <c r="M20" s="432">
        <f t="shared" si="0"/>
        <v>0</v>
      </c>
      <c r="N20" s="432"/>
      <c r="O20" s="432">
        <v>0</v>
      </c>
      <c r="P20" s="777"/>
      <c r="Q20" s="1190"/>
    </row>
    <row r="21" spans="2:17" s="768" customFormat="1" ht="15.75">
      <c r="B21" s="774">
        <v>30107</v>
      </c>
      <c r="C21" s="433"/>
      <c r="D21" s="775" t="s">
        <v>1076</v>
      </c>
      <c r="E21" s="433"/>
      <c r="F21" s="432"/>
      <c r="G21" s="432">
        <v>0</v>
      </c>
      <c r="H21" s="432"/>
      <c r="I21" s="432">
        <v>0</v>
      </c>
      <c r="J21" s="432"/>
      <c r="K21" s="432">
        <v>0</v>
      </c>
      <c r="L21" s="432"/>
      <c r="M21" s="432">
        <f t="shared" si="0"/>
        <v>0</v>
      </c>
      <c r="N21" s="432"/>
      <c r="O21" s="432">
        <v>0</v>
      </c>
      <c r="P21" s="777"/>
      <c r="Q21" s="1190"/>
    </row>
    <row r="22" spans="2:17" s="768" customFormat="1" ht="15.75">
      <c r="B22" s="774">
        <v>30108</v>
      </c>
      <c r="C22" s="433"/>
      <c r="D22" s="775" t="s">
        <v>1077</v>
      </c>
      <c r="E22" s="433"/>
      <c r="F22" s="432"/>
      <c r="G22" s="432">
        <v>0</v>
      </c>
      <c r="H22" s="432"/>
      <c r="I22" s="432">
        <v>0</v>
      </c>
      <c r="J22" s="432"/>
      <c r="K22" s="432">
        <v>0</v>
      </c>
      <c r="L22" s="432"/>
      <c r="M22" s="432">
        <f t="shared" si="0"/>
        <v>0</v>
      </c>
      <c r="N22" s="432"/>
      <c r="O22" s="432">
        <v>0</v>
      </c>
      <c r="P22" s="777"/>
      <c r="Q22" s="1190"/>
    </row>
    <row r="23" spans="2:17" s="768" customFormat="1" ht="15.75">
      <c r="B23" s="774">
        <v>30109</v>
      </c>
      <c r="C23" s="433"/>
      <c r="D23" s="775" t="s">
        <v>1078</v>
      </c>
      <c r="E23" s="433"/>
      <c r="F23" s="432"/>
      <c r="G23" s="432">
        <v>0</v>
      </c>
      <c r="H23" s="432"/>
      <c r="I23" s="432">
        <v>0</v>
      </c>
      <c r="J23" s="432"/>
      <c r="K23" s="432">
        <v>0</v>
      </c>
      <c r="L23" s="432"/>
      <c r="M23" s="432">
        <f t="shared" si="0"/>
        <v>0</v>
      </c>
      <c r="N23" s="432"/>
      <c r="O23" s="432">
        <v>0</v>
      </c>
      <c r="P23" s="777"/>
      <c r="Q23" s="1190"/>
    </row>
    <row r="24" spans="2:17" s="768" customFormat="1" ht="15.75">
      <c r="B24" s="774">
        <v>30110</v>
      </c>
      <c r="C24" s="433"/>
      <c r="D24" s="775" t="s">
        <v>1079</v>
      </c>
      <c r="E24" s="433"/>
      <c r="F24" s="432"/>
      <c r="G24" s="432">
        <v>0</v>
      </c>
      <c r="H24" s="432"/>
      <c r="I24" s="432">
        <v>0</v>
      </c>
      <c r="J24" s="432"/>
      <c r="K24" s="432">
        <v>0</v>
      </c>
      <c r="L24" s="432"/>
      <c r="M24" s="432">
        <f t="shared" si="0"/>
        <v>0</v>
      </c>
      <c r="N24" s="432"/>
      <c r="O24" s="432">
        <v>0</v>
      </c>
      <c r="P24" s="777"/>
      <c r="Q24" s="1190"/>
    </row>
    <row r="25" spans="2:17" s="768" customFormat="1" ht="15.75">
      <c r="B25" s="774">
        <v>30111</v>
      </c>
      <c r="C25" s="433"/>
      <c r="D25" s="775" t="s">
        <v>1080</v>
      </c>
      <c r="E25" s="433"/>
      <c r="F25" s="432"/>
      <c r="G25" s="432">
        <v>0</v>
      </c>
      <c r="H25" s="432"/>
      <c r="I25" s="432">
        <v>0</v>
      </c>
      <c r="J25" s="432"/>
      <c r="K25" s="432">
        <v>0</v>
      </c>
      <c r="L25" s="432"/>
      <c r="M25" s="432">
        <f t="shared" si="0"/>
        <v>0</v>
      </c>
      <c r="N25" s="432"/>
      <c r="O25" s="432">
        <v>0</v>
      </c>
      <c r="P25" s="777"/>
      <c r="Q25" s="1190"/>
    </row>
    <row r="26" spans="2:17" s="768" customFormat="1" ht="15.75">
      <c r="B26" s="774">
        <v>30112</v>
      </c>
      <c r="C26" s="433"/>
      <c r="D26" s="775" t="s">
        <v>1081</v>
      </c>
      <c r="E26" s="433"/>
      <c r="F26" s="432"/>
      <c r="G26" s="432">
        <v>0</v>
      </c>
      <c r="H26" s="432"/>
      <c r="I26" s="432">
        <v>0</v>
      </c>
      <c r="J26" s="432"/>
      <c r="K26" s="432">
        <v>0</v>
      </c>
      <c r="L26" s="432"/>
      <c r="M26" s="432">
        <f t="shared" si="0"/>
        <v>0</v>
      </c>
      <c r="N26" s="432"/>
      <c r="O26" s="432">
        <v>0</v>
      </c>
      <c r="P26" s="777"/>
      <c r="Q26" s="1190"/>
    </row>
    <row r="27" spans="2:17" s="768" customFormat="1" ht="15.75">
      <c r="B27" s="774">
        <v>30113</v>
      </c>
      <c r="C27" s="433"/>
      <c r="D27" s="775" t="s">
        <v>1082</v>
      </c>
      <c r="E27" s="433"/>
      <c r="F27" s="432"/>
      <c r="G27" s="432">
        <v>0</v>
      </c>
      <c r="H27" s="432"/>
      <c r="I27" s="432">
        <v>0</v>
      </c>
      <c r="J27" s="432"/>
      <c r="K27" s="432">
        <v>0</v>
      </c>
      <c r="L27" s="432"/>
      <c r="M27" s="432">
        <f t="shared" si="0"/>
        <v>0</v>
      </c>
      <c r="N27" s="432"/>
      <c r="O27" s="432">
        <v>0</v>
      </c>
      <c r="P27" s="777"/>
      <c r="Q27" s="1190"/>
    </row>
    <row r="28" spans="2:17" s="768" customFormat="1" ht="15.75">
      <c r="B28" s="774">
        <v>30114</v>
      </c>
      <c r="C28" s="433"/>
      <c r="D28" s="775" t="s">
        <v>1083</v>
      </c>
      <c r="E28" s="433"/>
      <c r="F28" s="432"/>
      <c r="G28" s="432">
        <v>0</v>
      </c>
      <c r="H28" s="432"/>
      <c r="I28" s="432">
        <v>0</v>
      </c>
      <c r="J28" s="432"/>
      <c r="K28" s="432">
        <v>0</v>
      </c>
      <c r="L28" s="432"/>
      <c r="M28" s="432">
        <f t="shared" si="0"/>
        <v>0</v>
      </c>
      <c r="N28" s="432"/>
      <c r="O28" s="432">
        <v>0</v>
      </c>
      <c r="P28" s="777"/>
      <c r="Q28" s="1190"/>
    </row>
    <row r="29" spans="2:17" s="768" customFormat="1" ht="15.75">
      <c r="B29" s="774">
        <v>30115</v>
      </c>
      <c r="C29" s="433"/>
      <c r="D29" s="775" t="s">
        <v>1084</v>
      </c>
      <c r="E29" s="433"/>
      <c r="F29" s="432"/>
      <c r="G29" s="432">
        <v>0</v>
      </c>
      <c r="H29" s="432"/>
      <c r="I29" s="432">
        <v>0</v>
      </c>
      <c r="J29" s="432"/>
      <c r="K29" s="432">
        <v>0</v>
      </c>
      <c r="L29" s="432"/>
      <c r="M29" s="432">
        <f t="shared" si="0"/>
        <v>0</v>
      </c>
      <c r="N29" s="432"/>
      <c r="O29" s="432">
        <v>0</v>
      </c>
      <c r="P29" s="777"/>
      <c r="Q29" s="1190"/>
    </row>
    <row r="30" spans="2:17" s="768" customFormat="1" ht="15.75">
      <c r="B30" s="774">
        <v>30116</v>
      </c>
      <c r="C30" s="433"/>
      <c r="D30" s="775" t="s">
        <v>1085</v>
      </c>
      <c r="E30" s="433"/>
      <c r="F30" s="432"/>
      <c r="G30" s="432">
        <v>0</v>
      </c>
      <c r="H30" s="432"/>
      <c r="I30" s="432">
        <v>0</v>
      </c>
      <c r="J30" s="432"/>
      <c r="K30" s="432">
        <v>0</v>
      </c>
      <c r="L30" s="432"/>
      <c r="M30" s="432">
        <f t="shared" si="0"/>
        <v>0</v>
      </c>
      <c r="N30" s="432"/>
      <c r="O30" s="432">
        <v>0</v>
      </c>
      <c r="P30" s="777"/>
      <c r="Q30" s="1190"/>
    </row>
    <row r="31" spans="2:17" s="768" customFormat="1" ht="15.75">
      <c r="B31" s="774">
        <v>30117</v>
      </c>
      <c r="C31" s="433"/>
      <c r="D31" s="775" t="s">
        <v>1086</v>
      </c>
      <c r="E31" s="433"/>
      <c r="F31" s="432"/>
      <c r="G31" s="432">
        <v>0</v>
      </c>
      <c r="H31" s="432"/>
      <c r="I31" s="432">
        <v>0</v>
      </c>
      <c r="J31" s="432"/>
      <c r="K31" s="432">
        <v>0</v>
      </c>
      <c r="L31" s="432"/>
      <c r="M31" s="432">
        <f t="shared" si="0"/>
        <v>0</v>
      </c>
      <c r="N31" s="432"/>
      <c r="O31" s="432">
        <v>0</v>
      </c>
      <c r="P31" s="777"/>
      <c r="Q31" s="1190"/>
    </row>
    <row r="32" spans="2:17" s="768" customFormat="1" ht="15.75">
      <c r="B32" s="774">
        <v>30118</v>
      </c>
      <c r="C32" s="433"/>
      <c r="D32" s="775" t="s">
        <v>1087</v>
      </c>
      <c r="E32" s="433"/>
      <c r="F32" s="432"/>
      <c r="G32" s="432">
        <v>0</v>
      </c>
      <c r="H32" s="432"/>
      <c r="I32" s="432">
        <v>0</v>
      </c>
      <c r="J32" s="432"/>
      <c r="K32" s="432">
        <v>0</v>
      </c>
      <c r="L32" s="432"/>
      <c r="M32" s="432">
        <f t="shared" si="0"/>
        <v>0</v>
      </c>
      <c r="N32" s="432"/>
      <c r="O32" s="432">
        <v>0</v>
      </c>
      <c r="P32" s="777"/>
      <c r="Q32" s="1190"/>
    </row>
    <row r="33" spans="2:17" s="768" customFormat="1" ht="15.75">
      <c r="B33" s="774">
        <v>30119</v>
      </c>
      <c r="C33" s="433"/>
      <c r="D33" s="775" t="s">
        <v>1088</v>
      </c>
      <c r="E33" s="433"/>
      <c r="F33" s="432"/>
      <c r="G33" s="432">
        <v>0</v>
      </c>
      <c r="H33" s="432"/>
      <c r="I33" s="432">
        <v>0</v>
      </c>
      <c r="J33" s="432"/>
      <c r="K33" s="432">
        <v>0</v>
      </c>
      <c r="L33" s="432"/>
      <c r="M33" s="432">
        <f t="shared" si="0"/>
        <v>0</v>
      </c>
      <c r="N33" s="432"/>
      <c r="O33" s="432">
        <v>0</v>
      </c>
      <c r="P33" s="777"/>
      <c r="Q33" s="1190"/>
    </row>
    <row r="34" spans="2:17" s="768" customFormat="1" ht="15.75">
      <c r="B34" s="774">
        <v>30120</v>
      </c>
      <c r="C34" s="433"/>
      <c r="D34" s="775" t="s">
        <v>1089</v>
      </c>
      <c r="E34" s="433"/>
      <c r="F34" s="432"/>
      <c r="G34" s="432">
        <v>0</v>
      </c>
      <c r="H34" s="432"/>
      <c r="I34" s="432">
        <v>0</v>
      </c>
      <c r="J34" s="432"/>
      <c r="K34" s="432">
        <v>0</v>
      </c>
      <c r="L34" s="432"/>
      <c r="M34" s="432">
        <f t="shared" si="0"/>
        <v>0</v>
      </c>
      <c r="N34" s="432"/>
      <c r="O34" s="432">
        <v>0</v>
      </c>
      <c r="P34" s="777"/>
      <c r="Q34" s="1190"/>
    </row>
    <row r="35" spans="2:17" s="768" customFormat="1" ht="15.75">
      <c r="B35" s="774">
        <v>30121</v>
      </c>
      <c r="C35" s="433"/>
      <c r="D35" s="775" t="s">
        <v>1090</v>
      </c>
      <c r="E35" s="433"/>
      <c r="F35" s="432"/>
      <c r="G35" s="432">
        <v>0</v>
      </c>
      <c r="H35" s="432"/>
      <c r="I35" s="432">
        <v>0</v>
      </c>
      <c r="J35" s="432"/>
      <c r="K35" s="432">
        <v>0</v>
      </c>
      <c r="L35" s="432"/>
      <c r="M35" s="432">
        <f t="shared" si="0"/>
        <v>0</v>
      </c>
      <c r="N35" s="432"/>
      <c r="O35" s="432">
        <v>0</v>
      </c>
      <c r="P35" s="777"/>
      <c r="Q35" s="1190"/>
    </row>
    <row r="36" spans="2:17" s="768" customFormat="1" ht="15.75">
      <c r="B36" s="774">
        <v>30122</v>
      </c>
      <c r="C36" s="433"/>
      <c r="D36" s="775" t="s">
        <v>1091</v>
      </c>
      <c r="E36" s="433"/>
      <c r="F36" s="432"/>
      <c r="G36" s="432">
        <v>0</v>
      </c>
      <c r="H36" s="432"/>
      <c r="I36" s="432">
        <v>0</v>
      </c>
      <c r="J36" s="432"/>
      <c r="K36" s="432">
        <v>0</v>
      </c>
      <c r="L36" s="432"/>
      <c r="M36" s="432">
        <f t="shared" si="0"/>
        <v>0</v>
      </c>
      <c r="N36" s="432"/>
      <c r="O36" s="432">
        <v>0</v>
      </c>
      <c r="P36" s="777"/>
      <c r="Q36" s="1190"/>
    </row>
    <row r="37" spans="2:17" s="768" customFormat="1" ht="15.75">
      <c r="B37" s="774">
        <v>30123</v>
      </c>
      <c r="C37" s="433"/>
      <c r="D37" s="775" t="s">
        <v>1092</v>
      </c>
      <c r="E37" s="433"/>
      <c r="F37" s="432"/>
      <c r="G37" s="432">
        <v>0</v>
      </c>
      <c r="H37" s="432"/>
      <c r="I37" s="432">
        <v>0</v>
      </c>
      <c r="J37" s="432"/>
      <c r="K37" s="432">
        <v>0</v>
      </c>
      <c r="L37" s="432"/>
      <c r="M37" s="432">
        <f t="shared" si="0"/>
        <v>0</v>
      </c>
      <c r="N37" s="432"/>
      <c r="O37" s="432">
        <v>0</v>
      </c>
      <c r="P37" s="777"/>
      <c r="Q37" s="1190"/>
    </row>
    <row r="38" spans="2:17" s="768" customFormat="1" ht="15.75">
      <c r="B38" s="774">
        <v>30124</v>
      </c>
      <c r="C38" s="433"/>
      <c r="D38" s="775" t="s">
        <v>1093</v>
      </c>
      <c r="E38" s="433"/>
      <c r="F38" s="432"/>
      <c r="G38" s="432">
        <v>0</v>
      </c>
      <c r="H38" s="432"/>
      <c r="I38" s="432">
        <v>0</v>
      </c>
      <c r="J38" s="432"/>
      <c r="K38" s="432">
        <v>0</v>
      </c>
      <c r="L38" s="432"/>
      <c r="M38" s="432">
        <f t="shared" si="0"/>
        <v>0</v>
      </c>
      <c r="N38" s="432"/>
      <c r="O38" s="432">
        <v>0</v>
      </c>
      <c r="P38" s="777"/>
      <c r="Q38" s="1190"/>
    </row>
    <row r="39" spans="2:17" s="768" customFormat="1" ht="15.75">
      <c r="B39" s="774">
        <v>30125</v>
      </c>
      <c r="C39" s="433"/>
      <c r="D39" s="775" t="s">
        <v>1094</v>
      </c>
      <c r="E39" s="433"/>
      <c r="F39" s="432"/>
      <c r="G39" s="432">
        <v>0</v>
      </c>
      <c r="H39" s="432"/>
      <c r="I39" s="432">
        <v>0</v>
      </c>
      <c r="J39" s="432"/>
      <c r="K39" s="432">
        <v>0</v>
      </c>
      <c r="L39" s="432"/>
      <c r="M39" s="432">
        <f t="shared" si="0"/>
        <v>0</v>
      </c>
      <c r="N39" s="432"/>
      <c r="O39" s="432">
        <v>0</v>
      </c>
      <c r="P39" s="777"/>
      <c r="Q39" s="1190"/>
    </row>
    <row r="40" spans="2:17" s="768" customFormat="1" ht="15.75">
      <c r="B40" s="774">
        <v>30126</v>
      </c>
      <c r="C40" s="433"/>
      <c r="D40" s="775" t="s">
        <v>1095</v>
      </c>
      <c r="E40" s="433"/>
      <c r="F40" s="432"/>
      <c r="G40" s="432">
        <v>0</v>
      </c>
      <c r="H40" s="432"/>
      <c r="I40" s="432">
        <v>0</v>
      </c>
      <c r="J40" s="432"/>
      <c r="K40" s="432">
        <v>0</v>
      </c>
      <c r="L40" s="432"/>
      <c r="M40" s="432">
        <f t="shared" si="0"/>
        <v>0</v>
      </c>
      <c r="N40" s="432"/>
      <c r="O40" s="432">
        <v>0</v>
      </c>
      <c r="P40" s="777"/>
      <c r="Q40" s="1190"/>
    </row>
    <row r="41" spans="2:17" s="768" customFormat="1" ht="15.75">
      <c r="B41" s="774">
        <v>30127</v>
      </c>
      <c r="C41" s="433"/>
      <c r="D41" s="775" t="s">
        <v>1096</v>
      </c>
      <c r="E41" s="433"/>
      <c r="F41" s="432"/>
      <c r="G41" s="432">
        <v>501638.21</v>
      </c>
      <c r="H41" s="432"/>
      <c r="I41" s="432">
        <v>503224.74</v>
      </c>
      <c r="J41" s="432"/>
      <c r="K41" s="432">
        <v>504776.91</v>
      </c>
      <c r="L41" s="432"/>
      <c r="M41" s="432">
        <f t="shared" si="0"/>
        <v>44446.340000000026</v>
      </c>
      <c r="N41" s="432"/>
      <c r="O41" s="432">
        <v>549223.25</v>
      </c>
      <c r="P41" s="777"/>
      <c r="Q41" s="1190"/>
    </row>
    <row r="42" spans="2:17" s="768" customFormat="1" ht="15.75">
      <c r="B42" s="774">
        <v>30128</v>
      </c>
      <c r="C42" s="433"/>
      <c r="D42" s="775" t="s">
        <v>1097</v>
      </c>
      <c r="E42" s="433"/>
      <c r="F42" s="432"/>
      <c r="G42" s="432">
        <v>0</v>
      </c>
      <c r="H42" s="432"/>
      <c r="I42" s="432">
        <v>0</v>
      </c>
      <c r="J42" s="432"/>
      <c r="K42" s="432">
        <v>0</v>
      </c>
      <c r="L42" s="432"/>
      <c r="M42" s="432">
        <f t="shared" si="0"/>
        <v>0</v>
      </c>
      <c r="N42" s="432"/>
      <c r="O42" s="432">
        <v>0</v>
      </c>
      <c r="P42" s="777"/>
      <c r="Q42" s="1190"/>
    </row>
    <row r="43" spans="2:17" s="768" customFormat="1" ht="15.75">
      <c r="B43" s="774">
        <v>30129</v>
      </c>
      <c r="C43" s="433"/>
      <c r="D43" s="775" t="s">
        <v>1098</v>
      </c>
      <c r="E43" s="433"/>
      <c r="F43" s="432"/>
      <c r="G43" s="432">
        <v>0</v>
      </c>
      <c r="H43" s="432"/>
      <c r="I43" s="432">
        <v>0</v>
      </c>
      <c r="J43" s="432"/>
      <c r="K43" s="432">
        <v>0</v>
      </c>
      <c r="L43" s="432"/>
      <c r="M43" s="432">
        <f t="shared" si="0"/>
        <v>0</v>
      </c>
      <c r="N43" s="432"/>
      <c r="O43" s="432">
        <v>0</v>
      </c>
      <c r="P43" s="777"/>
      <c r="Q43" s="1190"/>
    </row>
    <row r="44" spans="2:17" s="768" customFormat="1" ht="15.75">
      <c r="B44" s="774">
        <v>30130</v>
      </c>
      <c r="C44" s="433"/>
      <c r="D44" s="775" t="s">
        <v>1099</v>
      </c>
      <c r="E44" s="433"/>
      <c r="F44" s="432"/>
      <c r="G44" s="432">
        <v>0</v>
      </c>
      <c r="H44" s="432"/>
      <c r="I44" s="432">
        <v>0</v>
      </c>
      <c r="J44" s="432"/>
      <c r="K44" s="432">
        <v>0</v>
      </c>
      <c r="L44" s="432"/>
      <c r="M44" s="432">
        <f t="shared" si="0"/>
        <v>0</v>
      </c>
      <c r="N44" s="432"/>
      <c r="O44" s="432">
        <v>0</v>
      </c>
      <c r="P44" s="777"/>
      <c r="Q44" s="1190"/>
    </row>
    <row r="45" spans="2:17" s="768" customFormat="1" ht="15.75">
      <c r="B45" s="774">
        <v>30131</v>
      </c>
      <c r="C45" s="433"/>
      <c r="D45" s="775" t="s">
        <v>1100</v>
      </c>
      <c r="E45" s="433"/>
      <c r="F45" s="432"/>
      <c r="G45" s="432">
        <v>0</v>
      </c>
      <c r="H45" s="432"/>
      <c r="I45" s="432">
        <v>0</v>
      </c>
      <c r="J45" s="432"/>
      <c r="K45" s="432">
        <v>0</v>
      </c>
      <c r="L45" s="432"/>
      <c r="M45" s="432">
        <f t="shared" si="0"/>
        <v>0</v>
      </c>
      <c r="N45" s="432"/>
      <c r="O45" s="432">
        <v>0</v>
      </c>
      <c r="P45" s="777"/>
      <c r="Q45" s="1190"/>
    </row>
    <row r="46" spans="2:17" s="768" customFormat="1" ht="15.75">
      <c r="B46" s="774">
        <v>30132</v>
      </c>
      <c r="C46" s="433"/>
      <c r="D46" s="775" t="s">
        <v>1101</v>
      </c>
      <c r="E46" s="433"/>
      <c r="F46" s="432"/>
      <c r="G46" s="432">
        <v>0</v>
      </c>
      <c r="H46" s="432"/>
      <c r="I46" s="432">
        <v>0</v>
      </c>
      <c r="J46" s="432"/>
      <c r="K46" s="432">
        <v>0</v>
      </c>
      <c r="L46" s="432"/>
      <c r="M46" s="432">
        <f t="shared" si="0"/>
        <v>0</v>
      </c>
      <c r="N46" s="432"/>
      <c r="O46" s="432">
        <v>0</v>
      </c>
      <c r="P46" s="777"/>
      <c r="Q46" s="1190"/>
    </row>
    <row r="47" spans="2:17" s="768" customFormat="1" ht="15.75">
      <c r="B47" s="774">
        <v>30133</v>
      </c>
      <c r="C47" s="433"/>
      <c r="D47" s="775" t="s">
        <v>1102</v>
      </c>
      <c r="E47" s="433"/>
      <c r="F47" s="432"/>
      <c r="G47" s="432">
        <v>0</v>
      </c>
      <c r="H47" s="432"/>
      <c r="I47" s="432">
        <v>0</v>
      </c>
      <c r="J47" s="432"/>
      <c r="K47" s="432">
        <v>0</v>
      </c>
      <c r="L47" s="432"/>
      <c r="M47" s="432">
        <f t="shared" si="0"/>
        <v>0</v>
      </c>
      <c r="N47" s="432"/>
      <c r="O47" s="432">
        <v>0</v>
      </c>
      <c r="P47" s="777"/>
      <c r="Q47" s="1190"/>
    </row>
    <row r="48" spans="2:17" s="768" customFormat="1" ht="15.75">
      <c r="B48" s="774">
        <v>30134</v>
      </c>
      <c r="C48" s="433"/>
      <c r="D48" s="775" t="s">
        <v>1103</v>
      </c>
      <c r="E48" s="433"/>
      <c r="F48" s="432"/>
      <c r="G48" s="432">
        <v>0</v>
      </c>
      <c r="H48" s="432"/>
      <c r="I48" s="432">
        <v>0</v>
      </c>
      <c r="J48" s="432"/>
      <c r="K48" s="432">
        <v>0</v>
      </c>
      <c r="L48" s="432"/>
      <c r="M48" s="432">
        <f t="shared" si="0"/>
        <v>0</v>
      </c>
      <c r="N48" s="432"/>
      <c r="O48" s="432">
        <v>0</v>
      </c>
      <c r="P48" s="777"/>
      <c r="Q48" s="1190"/>
    </row>
    <row r="49" spans="2:17" s="768" customFormat="1" ht="15.75">
      <c r="B49" s="774">
        <v>30135</v>
      </c>
      <c r="C49" s="433"/>
      <c r="D49" s="775" t="s">
        <v>1104</v>
      </c>
      <c r="E49" s="433"/>
      <c r="F49" s="432"/>
      <c r="G49" s="432">
        <v>131126.26999999999</v>
      </c>
      <c r="H49" s="432"/>
      <c r="I49" s="432">
        <v>0</v>
      </c>
      <c r="J49" s="432"/>
      <c r="K49" s="432">
        <v>45591.35</v>
      </c>
      <c r="L49" s="432"/>
      <c r="M49" s="432">
        <f t="shared" si="0"/>
        <v>15030.160000000003</v>
      </c>
      <c r="N49" s="432"/>
      <c r="O49" s="432">
        <v>60621.51</v>
      </c>
      <c r="P49" s="777"/>
      <c r="Q49" s="1190"/>
    </row>
    <row r="50" spans="2:17" s="768" customFormat="1" ht="15.75">
      <c r="B50" s="774">
        <v>30136</v>
      </c>
      <c r="C50" s="433"/>
      <c r="D50" s="775" t="s">
        <v>1105</v>
      </c>
      <c r="E50" s="433"/>
      <c r="F50" s="432"/>
      <c r="G50" s="432">
        <v>0</v>
      </c>
      <c r="H50" s="432"/>
      <c r="I50" s="432">
        <v>0</v>
      </c>
      <c r="J50" s="432"/>
      <c r="K50" s="432">
        <v>0</v>
      </c>
      <c r="L50" s="432"/>
      <c r="M50" s="432">
        <f t="shared" si="0"/>
        <v>0</v>
      </c>
      <c r="N50" s="432"/>
      <c r="O50" s="432">
        <v>0</v>
      </c>
      <c r="P50" s="777"/>
      <c r="Q50" s="1190"/>
    </row>
    <row r="51" spans="2:17" s="768" customFormat="1" ht="15.75">
      <c r="B51" s="774">
        <v>30137</v>
      </c>
      <c r="C51" s="433"/>
      <c r="D51" s="775" t="s">
        <v>1106</v>
      </c>
      <c r="E51" s="433"/>
      <c r="F51" s="432"/>
      <c r="G51" s="432">
        <v>0</v>
      </c>
      <c r="H51" s="432"/>
      <c r="I51" s="432">
        <v>0</v>
      </c>
      <c r="J51" s="432"/>
      <c r="K51" s="432">
        <v>0</v>
      </c>
      <c r="L51" s="432"/>
      <c r="M51" s="432">
        <f t="shared" si="0"/>
        <v>0</v>
      </c>
      <c r="N51" s="432"/>
      <c r="O51" s="432">
        <v>0</v>
      </c>
      <c r="P51" s="777"/>
      <c r="Q51" s="1190"/>
    </row>
    <row r="52" spans="2:17" s="768" customFormat="1" ht="15.75">
      <c r="B52" s="774">
        <v>30138</v>
      </c>
      <c r="C52" s="433"/>
      <c r="D52" s="775" t="s">
        <v>1107</v>
      </c>
      <c r="E52" s="433"/>
      <c r="F52" s="432"/>
      <c r="G52" s="432">
        <v>0</v>
      </c>
      <c r="H52" s="432"/>
      <c r="I52" s="432">
        <v>0</v>
      </c>
      <c r="J52" s="432"/>
      <c r="K52" s="432">
        <v>0</v>
      </c>
      <c r="L52" s="432"/>
      <c r="M52" s="432">
        <f t="shared" si="0"/>
        <v>0</v>
      </c>
      <c r="N52" s="432"/>
      <c r="O52" s="432">
        <v>0</v>
      </c>
      <c r="P52" s="777"/>
      <c r="Q52" s="1190"/>
    </row>
    <row r="53" spans="2:17" s="768" customFormat="1" ht="15.75">
      <c r="B53" s="774">
        <v>30139</v>
      </c>
      <c r="C53" s="433"/>
      <c r="D53" s="775" t="s">
        <v>1108</v>
      </c>
      <c r="E53" s="433"/>
      <c r="F53" s="432"/>
      <c r="G53" s="432">
        <v>0</v>
      </c>
      <c r="H53" s="432"/>
      <c r="I53" s="432">
        <v>0</v>
      </c>
      <c r="J53" s="432"/>
      <c r="K53" s="432">
        <v>0</v>
      </c>
      <c r="L53" s="432"/>
      <c r="M53" s="432">
        <f t="shared" si="0"/>
        <v>0</v>
      </c>
      <c r="N53" s="432"/>
      <c r="O53" s="432">
        <v>0</v>
      </c>
      <c r="P53" s="777"/>
      <c r="Q53" s="1190"/>
    </row>
    <row r="54" spans="2:17" s="768" customFormat="1" ht="15.75">
      <c r="B54" s="774">
        <v>30140</v>
      </c>
      <c r="C54" s="433"/>
      <c r="D54" s="775" t="s">
        <v>1109</v>
      </c>
      <c r="E54" s="433"/>
      <c r="F54" s="432"/>
      <c r="G54" s="432">
        <v>0</v>
      </c>
      <c r="H54" s="432"/>
      <c r="I54" s="432">
        <v>0</v>
      </c>
      <c r="J54" s="432"/>
      <c r="K54" s="432">
        <v>0</v>
      </c>
      <c r="L54" s="432"/>
      <c r="M54" s="432">
        <f t="shared" si="0"/>
        <v>0</v>
      </c>
      <c r="N54" s="432"/>
      <c r="O54" s="432">
        <v>0</v>
      </c>
      <c r="P54" s="777"/>
      <c r="Q54" s="1190"/>
    </row>
    <row r="55" spans="2:17" s="768" customFormat="1" ht="15.75">
      <c r="B55" s="774">
        <v>30141</v>
      </c>
      <c r="C55" s="433"/>
      <c r="D55" s="775" t="s">
        <v>1110</v>
      </c>
      <c r="E55" s="433"/>
      <c r="F55" s="432"/>
      <c r="G55" s="432">
        <v>0</v>
      </c>
      <c r="H55" s="432"/>
      <c r="I55" s="432">
        <v>0</v>
      </c>
      <c r="J55" s="432"/>
      <c r="K55" s="432">
        <v>0</v>
      </c>
      <c r="L55" s="432"/>
      <c r="M55" s="432">
        <f t="shared" si="0"/>
        <v>0</v>
      </c>
      <c r="N55" s="432"/>
      <c r="O55" s="432">
        <v>0</v>
      </c>
      <c r="P55" s="777"/>
      <c r="Q55" s="1190"/>
    </row>
    <row r="56" spans="2:17" s="768" customFormat="1" ht="15.75">
      <c r="B56" s="774">
        <v>30142</v>
      </c>
      <c r="C56" s="433"/>
      <c r="D56" s="775" t="s">
        <v>1111</v>
      </c>
      <c r="E56" s="433"/>
      <c r="F56" s="432"/>
      <c r="G56" s="432">
        <v>0</v>
      </c>
      <c r="H56" s="432"/>
      <c r="I56" s="432">
        <v>0</v>
      </c>
      <c r="J56" s="432"/>
      <c r="K56" s="432">
        <v>0</v>
      </c>
      <c r="L56" s="432"/>
      <c r="M56" s="432">
        <f t="shared" si="0"/>
        <v>0</v>
      </c>
      <c r="N56" s="432"/>
      <c r="O56" s="432">
        <v>0</v>
      </c>
      <c r="P56" s="777"/>
      <c r="Q56" s="1190"/>
    </row>
    <row r="57" spans="2:17" s="768" customFormat="1" ht="15.75">
      <c r="B57" s="774">
        <v>30143</v>
      </c>
      <c r="C57" s="433"/>
      <c r="D57" s="775" t="s">
        <v>1112</v>
      </c>
      <c r="E57" s="433"/>
      <c r="F57" s="432"/>
      <c r="G57" s="432">
        <v>0</v>
      </c>
      <c r="H57" s="432"/>
      <c r="I57" s="432">
        <v>0</v>
      </c>
      <c r="J57" s="432"/>
      <c r="K57" s="432">
        <v>0</v>
      </c>
      <c r="L57" s="432"/>
      <c r="M57" s="432">
        <f t="shared" si="0"/>
        <v>0</v>
      </c>
      <c r="N57" s="432"/>
      <c r="O57" s="432">
        <v>0</v>
      </c>
      <c r="P57" s="777"/>
      <c r="Q57" s="1190"/>
    </row>
    <row r="58" spans="2:17" s="768" customFormat="1" ht="15.75">
      <c r="B58" s="774">
        <v>30144</v>
      </c>
      <c r="C58" s="433"/>
      <c r="D58" s="775" t="s">
        <v>1113</v>
      </c>
      <c r="E58" s="433"/>
      <c r="F58" s="432"/>
      <c r="G58" s="432">
        <v>0</v>
      </c>
      <c r="H58" s="432"/>
      <c r="I58" s="432">
        <v>0</v>
      </c>
      <c r="J58" s="432"/>
      <c r="K58" s="432">
        <v>0</v>
      </c>
      <c r="L58" s="432"/>
      <c r="M58" s="432">
        <f t="shared" si="0"/>
        <v>0</v>
      </c>
      <c r="N58" s="432"/>
      <c r="O58" s="432">
        <v>0</v>
      </c>
      <c r="P58" s="777"/>
      <c r="Q58" s="1190"/>
    </row>
    <row r="59" spans="2:17" s="768" customFormat="1" ht="15.75">
      <c r="B59" s="774">
        <v>30145</v>
      </c>
      <c r="C59" s="433"/>
      <c r="D59" s="775" t="s">
        <v>1114</v>
      </c>
      <c r="E59" s="433"/>
      <c r="F59" s="432"/>
      <c r="G59" s="432">
        <v>0</v>
      </c>
      <c r="H59" s="432"/>
      <c r="I59" s="432">
        <v>0</v>
      </c>
      <c r="J59" s="432"/>
      <c r="K59" s="432">
        <v>0</v>
      </c>
      <c r="L59" s="432"/>
      <c r="M59" s="432">
        <f t="shared" si="0"/>
        <v>0</v>
      </c>
      <c r="N59" s="432"/>
      <c r="O59" s="432">
        <v>0</v>
      </c>
      <c r="P59" s="777"/>
      <c r="Q59" s="1190"/>
    </row>
    <row r="60" spans="2:17" s="768" customFormat="1" ht="15.75">
      <c r="B60" s="774">
        <v>30146</v>
      </c>
      <c r="C60" s="433"/>
      <c r="D60" s="775" t="s">
        <v>1115</v>
      </c>
      <c r="E60" s="433"/>
      <c r="F60" s="432"/>
      <c r="G60" s="432">
        <v>0</v>
      </c>
      <c r="H60" s="432"/>
      <c r="I60" s="432">
        <v>0</v>
      </c>
      <c r="J60" s="432"/>
      <c r="K60" s="432">
        <v>0</v>
      </c>
      <c r="L60" s="432"/>
      <c r="M60" s="432">
        <f t="shared" si="0"/>
        <v>0</v>
      </c>
      <c r="N60" s="432"/>
      <c r="O60" s="432">
        <v>0</v>
      </c>
      <c r="P60" s="777"/>
      <c r="Q60" s="1190"/>
    </row>
    <row r="61" spans="2:17" s="768" customFormat="1" ht="15.75">
      <c r="B61" s="774">
        <v>30147</v>
      </c>
      <c r="C61" s="433"/>
      <c r="D61" s="775" t="s">
        <v>1116</v>
      </c>
      <c r="E61" s="433"/>
      <c r="F61" s="432"/>
      <c r="G61" s="432">
        <v>0</v>
      </c>
      <c r="H61" s="432"/>
      <c r="I61" s="432">
        <v>0</v>
      </c>
      <c r="J61" s="432"/>
      <c r="K61" s="432">
        <v>0</v>
      </c>
      <c r="L61" s="432"/>
      <c r="M61" s="432">
        <f t="shared" si="0"/>
        <v>0</v>
      </c>
      <c r="N61" s="432"/>
      <c r="O61" s="432">
        <v>0</v>
      </c>
      <c r="P61" s="777"/>
      <c r="Q61" s="1190"/>
    </row>
    <row r="62" spans="2:17" s="768" customFormat="1" ht="15.75">
      <c r="B62" s="774">
        <v>30148</v>
      </c>
      <c r="C62" s="433"/>
      <c r="D62" s="775" t="s">
        <v>1117</v>
      </c>
      <c r="E62" s="433"/>
      <c r="F62" s="432"/>
      <c r="G62" s="432">
        <v>0</v>
      </c>
      <c r="H62" s="432"/>
      <c r="I62" s="432">
        <v>0</v>
      </c>
      <c r="J62" s="432"/>
      <c r="K62" s="432">
        <v>0</v>
      </c>
      <c r="L62" s="432"/>
      <c r="M62" s="432">
        <f t="shared" si="0"/>
        <v>0</v>
      </c>
      <c r="N62" s="432"/>
      <c r="O62" s="432">
        <v>0</v>
      </c>
      <c r="P62" s="777"/>
      <c r="Q62" s="1190"/>
    </row>
    <row r="63" spans="2:17" s="768" customFormat="1" ht="15.75">
      <c r="B63" s="774">
        <v>30149</v>
      </c>
      <c r="C63" s="433"/>
      <c r="D63" s="775" t="s">
        <v>1118</v>
      </c>
      <c r="E63" s="433"/>
      <c r="F63" s="432"/>
      <c r="G63" s="432">
        <v>0</v>
      </c>
      <c r="H63" s="432"/>
      <c r="I63" s="432">
        <v>0</v>
      </c>
      <c r="J63" s="432"/>
      <c r="K63" s="432">
        <v>0</v>
      </c>
      <c r="L63" s="432"/>
      <c r="M63" s="432">
        <f t="shared" si="0"/>
        <v>0</v>
      </c>
      <c r="N63" s="432"/>
      <c r="O63" s="432">
        <v>0</v>
      </c>
      <c r="P63" s="777"/>
      <c r="Q63" s="1190"/>
    </row>
    <row r="64" spans="2:17" s="768" customFormat="1" ht="15.75">
      <c r="B64" s="774">
        <v>30150</v>
      </c>
      <c r="C64" s="433"/>
      <c r="D64" s="775" t="s">
        <v>1119</v>
      </c>
      <c r="E64" s="433"/>
      <c r="F64" s="432"/>
      <c r="G64" s="432">
        <v>0</v>
      </c>
      <c r="H64" s="432"/>
      <c r="I64" s="432">
        <v>0</v>
      </c>
      <c r="J64" s="432"/>
      <c r="K64" s="432">
        <v>0</v>
      </c>
      <c r="L64" s="432"/>
      <c r="M64" s="432">
        <f t="shared" si="0"/>
        <v>0</v>
      </c>
      <c r="N64" s="432"/>
      <c r="O64" s="432">
        <v>0</v>
      </c>
      <c r="P64" s="777"/>
      <c r="Q64" s="1190"/>
    </row>
    <row r="65" spans="2:17" s="768" customFormat="1" ht="15.75">
      <c r="B65" s="774">
        <v>30151</v>
      </c>
      <c r="C65" s="433"/>
      <c r="D65" s="775" t="s">
        <v>1120</v>
      </c>
      <c r="E65" s="433"/>
      <c r="F65" s="432"/>
      <c r="G65" s="432">
        <v>214552.34</v>
      </c>
      <c r="H65" s="432"/>
      <c r="I65" s="432">
        <v>215242.96</v>
      </c>
      <c r="J65" s="432"/>
      <c r="K65" s="432">
        <v>0</v>
      </c>
      <c r="L65" s="432"/>
      <c r="M65" s="432">
        <f t="shared" si="0"/>
        <v>0</v>
      </c>
      <c r="N65" s="432"/>
      <c r="O65" s="432">
        <v>0</v>
      </c>
      <c r="P65" s="777"/>
      <c r="Q65" s="1190"/>
    </row>
    <row r="66" spans="2:17" s="768" customFormat="1" ht="15.75">
      <c r="B66" s="774">
        <v>30152</v>
      </c>
      <c r="C66" s="433"/>
      <c r="D66" s="775" t="s">
        <v>1121</v>
      </c>
      <c r="E66" s="433"/>
      <c r="F66" s="432"/>
      <c r="G66" s="432">
        <v>0</v>
      </c>
      <c r="H66" s="432"/>
      <c r="I66" s="432">
        <v>0</v>
      </c>
      <c r="J66" s="432"/>
      <c r="K66" s="432">
        <v>0</v>
      </c>
      <c r="L66" s="432"/>
      <c r="M66" s="432">
        <f t="shared" si="0"/>
        <v>0</v>
      </c>
      <c r="N66" s="432"/>
      <c r="O66" s="432">
        <v>0</v>
      </c>
      <c r="P66" s="777"/>
      <c r="Q66" s="1190"/>
    </row>
    <row r="67" spans="2:17" s="768" customFormat="1" ht="15.75">
      <c r="B67" s="774">
        <v>30153</v>
      </c>
      <c r="C67" s="433"/>
      <c r="D67" s="775" t="s">
        <v>1122</v>
      </c>
      <c r="E67" s="433"/>
      <c r="F67" s="432"/>
      <c r="G67" s="432">
        <v>0</v>
      </c>
      <c r="H67" s="432"/>
      <c r="I67" s="432">
        <v>0</v>
      </c>
      <c r="J67" s="432"/>
      <c r="K67" s="432">
        <v>0</v>
      </c>
      <c r="L67" s="432"/>
      <c r="M67" s="432">
        <f t="shared" si="0"/>
        <v>0</v>
      </c>
      <c r="N67" s="432"/>
      <c r="O67" s="432">
        <v>0</v>
      </c>
      <c r="P67" s="777"/>
      <c r="Q67" s="1190"/>
    </row>
    <row r="68" spans="2:17" s="768" customFormat="1" ht="15.75">
      <c r="B68" s="774">
        <v>30154</v>
      </c>
      <c r="C68" s="433"/>
      <c r="D68" s="775" t="s">
        <v>1123</v>
      </c>
      <c r="E68" s="433"/>
      <c r="F68" s="432"/>
      <c r="G68" s="432">
        <v>0</v>
      </c>
      <c r="H68" s="432"/>
      <c r="I68" s="432">
        <v>0</v>
      </c>
      <c r="J68" s="432"/>
      <c r="K68" s="432">
        <v>0</v>
      </c>
      <c r="L68" s="432"/>
      <c r="M68" s="432">
        <f t="shared" si="0"/>
        <v>0</v>
      </c>
      <c r="N68" s="432"/>
      <c r="O68" s="432">
        <v>0</v>
      </c>
      <c r="P68" s="777"/>
      <c r="Q68" s="1190"/>
    </row>
    <row r="69" spans="2:17" s="768" customFormat="1" ht="15.75">
      <c r="B69" s="774">
        <v>30351</v>
      </c>
      <c r="C69" s="433"/>
      <c r="D69" s="775" t="s">
        <v>1124</v>
      </c>
      <c r="E69" s="433"/>
      <c r="F69" s="432"/>
      <c r="G69" s="432">
        <v>150162911.97</v>
      </c>
      <c r="H69" s="432"/>
      <c r="I69" s="432">
        <v>156510949.50999999</v>
      </c>
      <c r="J69" s="432"/>
      <c r="K69" s="432">
        <v>186465910.72</v>
      </c>
      <c r="L69" s="432"/>
      <c r="M69" s="432">
        <f t="shared" si="0"/>
        <v>39949905.330000013</v>
      </c>
      <c r="N69" s="432"/>
      <c r="O69" s="432">
        <v>226415816.05000001</v>
      </c>
      <c r="P69" s="777"/>
      <c r="Q69" s="1190"/>
    </row>
    <row r="70" spans="2:17" s="768" customFormat="1" ht="15.75">
      <c r="B70" s="774">
        <v>30501</v>
      </c>
      <c r="C70" s="433"/>
      <c r="D70" s="775" t="s">
        <v>1125</v>
      </c>
      <c r="E70" s="433"/>
      <c r="F70" s="432"/>
      <c r="G70" s="432">
        <v>0</v>
      </c>
      <c r="H70" s="432"/>
      <c r="I70" s="432">
        <v>0</v>
      </c>
      <c r="J70" s="432"/>
      <c r="K70" s="432">
        <v>0</v>
      </c>
      <c r="L70" s="432"/>
      <c r="M70" s="432">
        <f t="shared" si="0"/>
        <v>0</v>
      </c>
      <c r="N70" s="432"/>
      <c r="O70" s="432">
        <v>0</v>
      </c>
      <c r="P70" s="777" t="s">
        <v>1508</v>
      </c>
      <c r="Q70" s="1190"/>
    </row>
    <row r="71" spans="2:17" s="768" customFormat="1" ht="15.75">
      <c r="B71" s="774">
        <v>30502</v>
      </c>
      <c r="C71" s="433"/>
      <c r="D71" s="775" t="s">
        <v>1126</v>
      </c>
      <c r="E71" s="433"/>
      <c r="F71" s="432"/>
      <c r="G71" s="432">
        <v>0</v>
      </c>
      <c r="H71" s="432"/>
      <c r="I71" s="432">
        <v>0</v>
      </c>
      <c r="J71" s="432"/>
      <c r="K71" s="432">
        <v>0</v>
      </c>
      <c r="L71" s="432"/>
      <c r="M71" s="432">
        <f t="shared" si="0"/>
        <v>0</v>
      </c>
      <c r="N71" s="432"/>
      <c r="O71" s="432">
        <v>0</v>
      </c>
      <c r="P71" s="777" t="s">
        <v>1508</v>
      </c>
      <c r="Q71" s="1190"/>
    </row>
    <row r="72" spans="2:17" s="768" customFormat="1" ht="15.75">
      <c r="B72" s="774">
        <v>30503</v>
      </c>
      <c r="C72" s="433"/>
      <c r="D72" s="775" t="s">
        <v>1127</v>
      </c>
      <c r="E72" s="433"/>
      <c r="F72" s="432"/>
      <c r="G72" s="432">
        <v>0</v>
      </c>
      <c r="H72" s="432"/>
      <c r="I72" s="432">
        <v>0</v>
      </c>
      <c r="J72" s="432"/>
      <c r="K72" s="432">
        <v>0</v>
      </c>
      <c r="L72" s="432"/>
      <c r="M72" s="432">
        <f t="shared" si="0"/>
        <v>0</v>
      </c>
      <c r="N72" s="432"/>
      <c r="O72" s="432">
        <v>0</v>
      </c>
      <c r="P72" s="777" t="s">
        <v>1508</v>
      </c>
      <c r="Q72" s="1190"/>
    </row>
    <row r="73" spans="2:17" s="768" customFormat="1" ht="15.75">
      <c r="B73" s="774">
        <v>30504</v>
      </c>
      <c r="C73" s="433"/>
      <c r="D73" s="775" t="s">
        <v>1128</v>
      </c>
      <c r="E73" s="433"/>
      <c r="F73" s="432"/>
      <c r="G73" s="432">
        <v>0</v>
      </c>
      <c r="H73" s="432"/>
      <c r="I73" s="432">
        <v>0</v>
      </c>
      <c r="J73" s="432"/>
      <c r="K73" s="432">
        <v>0</v>
      </c>
      <c r="L73" s="432"/>
      <c r="M73" s="432">
        <f t="shared" si="0"/>
        <v>0</v>
      </c>
      <c r="N73" s="432"/>
      <c r="O73" s="432">
        <v>0</v>
      </c>
      <c r="P73" s="777" t="s">
        <v>1508</v>
      </c>
      <c r="Q73" s="1190"/>
    </row>
    <row r="74" spans="2:17" s="768" customFormat="1" ht="15.75">
      <c r="B74" s="774">
        <v>31506</v>
      </c>
      <c r="C74" s="781"/>
      <c r="D74" s="780" t="s">
        <v>1129</v>
      </c>
      <c r="E74" s="782"/>
      <c r="F74" s="432"/>
      <c r="G74" s="432">
        <v>100343105.89</v>
      </c>
      <c r="H74" s="432"/>
      <c r="I74" s="432">
        <v>101176891.7</v>
      </c>
      <c r="J74" s="432"/>
      <c r="K74" s="432">
        <v>108070498.03</v>
      </c>
      <c r="L74" s="432"/>
      <c r="M74" s="432">
        <f t="shared" si="0"/>
        <v>11892625.039999992</v>
      </c>
      <c r="N74" s="432"/>
      <c r="O74" s="432">
        <v>119963123.06999999</v>
      </c>
      <c r="P74" s="777"/>
      <c r="Q74" s="1190"/>
    </row>
    <row r="75" spans="2:17" s="768" customFormat="1" ht="15.75">
      <c r="B75" s="774">
        <v>31701</v>
      </c>
      <c r="C75" s="433"/>
      <c r="D75" s="775" t="s">
        <v>1130</v>
      </c>
      <c r="E75" s="433"/>
      <c r="F75" s="432"/>
      <c r="G75" s="432">
        <v>30992140.530000001</v>
      </c>
      <c r="H75" s="432"/>
      <c r="I75" s="432">
        <v>33565058.280000001</v>
      </c>
      <c r="J75" s="432"/>
      <c r="K75" s="432">
        <v>36486258.32</v>
      </c>
      <c r="L75" s="432"/>
      <c r="M75" s="432">
        <f t="shared" si="0"/>
        <v>2394605.7299999967</v>
      </c>
      <c r="N75" s="432"/>
      <c r="O75" s="432">
        <v>38880864.049999997</v>
      </c>
      <c r="P75" s="777"/>
      <c r="Q75" s="1190"/>
    </row>
    <row r="76" spans="2:17" s="768" customFormat="1" ht="15.75">
      <c r="B76" s="774">
        <v>31801</v>
      </c>
      <c r="C76" s="433"/>
      <c r="D76" s="775" t="s">
        <v>1131</v>
      </c>
      <c r="E76" s="433"/>
      <c r="F76" s="432"/>
      <c r="G76" s="432">
        <v>12941967.060000001</v>
      </c>
      <c r="H76" s="432"/>
      <c r="I76" s="432">
        <v>12941967.060000001</v>
      </c>
      <c r="J76" s="432"/>
      <c r="K76" s="432">
        <v>12941967.060000001</v>
      </c>
      <c r="L76" s="432"/>
      <c r="M76" s="432">
        <f t="shared" si="0"/>
        <v>0</v>
      </c>
      <c r="N76" s="432"/>
      <c r="O76" s="432">
        <v>12941967.060000001</v>
      </c>
      <c r="P76" s="777"/>
      <c r="Q76" s="1190"/>
    </row>
    <row r="77" spans="2:17" s="768" customFormat="1" ht="15.75">
      <c r="B77" s="774">
        <v>31851</v>
      </c>
      <c r="C77" s="433"/>
      <c r="D77" s="780" t="s">
        <v>1132</v>
      </c>
      <c r="E77" s="433"/>
      <c r="F77" s="432"/>
      <c r="G77" s="432">
        <v>1117271553.4200001</v>
      </c>
      <c r="H77" s="432"/>
      <c r="I77" s="432">
        <v>1204589477.4200001</v>
      </c>
      <c r="J77" s="432"/>
      <c r="K77" s="432">
        <v>1341470727.3199999</v>
      </c>
      <c r="L77" s="432"/>
      <c r="M77" s="432">
        <f t="shared" si="0"/>
        <v>113058421</v>
      </c>
      <c r="N77" s="432"/>
      <c r="O77" s="432">
        <v>1454529148.3199999</v>
      </c>
      <c r="P77" s="777"/>
      <c r="Q77" s="1190"/>
    </row>
    <row r="78" spans="2:17" s="768" customFormat="1" ht="15.75">
      <c r="B78" s="774">
        <v>31852</v>
      </c>
      <c r="C78" s="433"/>
      <c r="D78" s="775" t="s">
        <v>1133</v>
      </c>
      <c r="E78" s="433"/>
      <c r="F78" s="432"/>
      <c r="G78" s="432">
        <v>96428740.140000001</v>
      </c>
      <c r="H78" s="432"/>
      <c r="I78" s="432">
        <v>98913820.140000001</v>
      </c>
      <c r="J78" s="432"/>
      <c r="K78" s="432">
        <v>101878937.14</v>
      </c>
      <c r="L78" s="432"/>
      <c r="M78" s="432">
        <f t="shared" si="0"/>
        <v>0</v>
      </c>
      <c r="N78" s="432"/>
      <c r="O78" s="432">
        <v>101878937.14</v>
      </c>
      <c r="P78" s="777"/>
      <c r="Q78" s="1190"/>
    </row>
    <row r="79" spans="2:17" s="768" customFormat="1" ht="15.75">
      <c r="B79" s="774">
        <v>31853</v>
      </c>
      <c r="C79" s="433"/>
      <c r="D79" s="780" t="s">
        <v>1134</v>
      </c>
      <c r="E79" s="433"/>
      <c r="F79" s="432"/>
      <c r="G79" s="432">
        <v>495649601.94</v>
      </c>
      <c r="H79" s="432"/>
      <c r="I79" s="432">
        <v>495649601.94</v>
      </c>
      <c r="J79" s="432"/>
      <c r="K79" s="432">
        <v>495649601.94</v>
      </c>
      <c r="L79" s="432"/>
      <c r="M79" s="432">
        <f t="shared" ref="M79:M103" si="1">O79-K79</f>
        <v>10000000</v>
      </c>
      <c r="N79" s="432"/>
      <c r="O79" s="432">
        <v>505649601.94</v>
      </c>
      <c r="P79" s="777"/>
      <c r="Q79" s="1190"/>
    </row>
    <row r="80" spans="2:17" s="768" customFormat="1" ht="15.75">
      <c r="B80" s="774">
        <v>31854</v>
      </c>
      <c r="C80" s="433"/>
      <c r="D80" s="780" t="s">
        <v>1135</v>
      </c>
      <c r="E80" s="433"/>
      <c r="F80" s="432"/>
      <c r="G80" s="432">
        <v>0</v>
      </c>
      <c r="H80" s="432"/>
      <c r="I80" s="432">
        <v>0</v>
      </c>
      <c r="J80" s="432"/>
      <c r="K80" s="432">
        <v>0</v>
      </c>
      <c r="L80" s="432"/>
      <c r="M80" s="432">
        <f t="shared" si="1"/>
        <v>0</v>
      </c>
      <c r="N80" s="432"/>
      <c r="O80" s="432">
        <v>0</v>
      </c>
      <c r="P80" s="777"/>
      <c r="Q80" s="1190"/>
    </row>
    <row r="81" spans="2:17" s="768" customFormat="1" ht="15.75">
      <c r="B81" s="774">
        <v>31951</v>
      </c>
      <c r="C81" s="433"/>
      <c r="D81" s="780" t="s">
        <v>1136</v>
      </c>
      <c r="E81" s="433"/>
      <c r="F81" s="432"/>
      <c r="G81" s="432">
        <v>12015920.550000001</v>
      </c>
      <c r="H81" s="432"/>
      <c r="I81" s="432">
        <v>12015920.550000001</v>
      </c>
      <c r="J81" s="432"/>
      <c r="K81" s="432">
        <v>12015920.550000001</v>
      </c>
      <c r="L81" s="432"/>
      <c r="M81" s="432">
        <f t="shared" si="1"/>
        <v>0</v>
      </c>
      <c r="N81" s="432"/>
      <c r="O81" s="432">
        <v>12015920.550000001</v>
      </c>
      <c r="P81" s="777"/>
      <c r="Q81" s="1190"/>
    </row>
    <row r="82" spans="2:17" s="768" customFormat="1" ht="15.75">
      <c r="B82" s="774">
        <v>32213</v>
      </c>
      <c r="C82" s="433"/>
      <c r="D82" s="775" t="s">
        <v>1137</v>
      </c>
      <c r="E82" s="433"/>
      <c r="F82" s="432"/>
      <c r="G82" s="432">
        <v>153750</v>
      </c>
      <c r="H82" s="432"/>
      <c r="I82" s="432">
        <v>153750</v>
      </c>
      <c r="J82" s="432"/>
      <c r="K82" s="432">
        <v>153750</v>
      </c>
      <c r="L82" s="432"/>
      <c r="M82" s="432">
        <f t="shared" si="1"/>
        <v>0</v>
      </c>
      <c r="N82" s="432"/>
      <c r="O82" s="432">
        <v>153750</v>
      </c>
      <c r="P82" s="777"/>
      <c r="Q82" s="1190"/>
    </row>
    <row r="83" spans="2:17" s="768" customFormat="1" ht="15.75">
      <c r="B83" s="774">
        <v>32214</v>
      </c>
      <c r="C83" s="433"/>
      <c r="D83" s="775" t="s">
        <v>1138</v>
      </c>
      <c r="E83" s="433"/>
      <c r="F83" s="432"/>
      <c r="G83" s="432">
        <v>0</v>
      </c>
      <c r="H83" s="432"/>
      <c r="I83" s="432">
        <v>0</v>
      </c>
      <c r="J83" s="432"/>
      <c r="K83" s="432">
        <v>0</v>
      </c>
      <c r="L83" s="432"/>
      <c r="M83" s="432">
        <f t="shared" si="1"/>
        <v>0</v>
      </c>
      <c r="N83" s="432"/>
      <c r="O83" s="432">
        <v>0</v>
      </c>
      <c r="P83" s="777" t="s">
        <v>1508</v>
      </c>
      <c r="Q83" s="1190"/>
    </row>
    <row r="84" spans="2:17" s="768" customFormat="1" ht="15.75">
      <c r="B84" s="774">
        <v>32215</v>
      </c>
      <c r="C84" s="433"/>
      <c r="D84" s="775" t="s">
        <v>1139</v>
      </c>
      <c r="E84" s="433"/>
      <c r="F84" s="432"/>
      <c r="G84" s="432">
        <v>1193.58</v>
      </c>
      <c r="H84" s="432"/>
      <c r="I84" s="432">
        <v>1197.42</v>
      </c>
      <c r="J84" s="432"/>
      <c r="K84" s="432">
        <v>1201.0999999999999</v>
      </c>
      <c r="L84" s="432"/>
      <c r="M84" s="432">
        <f t="shared" si="1"/>
        <v>3.8200000000001637</v>
      </c>
      <c r="N84" s="432"/>
      <c r="O84" s="432">
        <v>1204.92</v>
      </c>
      <c r="P84" s="777"/>
      <c r="Q84" s="1190"/>
    </row>
    <row r="85" spans="2:17" s="768" customFormat="1" ht="15.75">
      <c r="B85" s="774">
        <v>32219</v>
      </c>
      <c r="C85" s="433"/>
      <c r="D85" s="775" t="s">
        <v>1140</v>
      </c>
      <c r="E85" s="433"/>
      <c r="F85" s="432"/>
      <c r="G85" s="432">
        <v>0</v>
      </c>
      <c r="H85" s="432"/>
      <c r="I85" s="432">
        <v>0</v>
      </c>
      <c r="J85" s="432"/>
      <c r="K85" s="432">
        <v>0</v>
      </c>
      <c r="L85" s="432"/>
      <c r="M85" s="432">
        <f t="shared" si="1"/>
        <v>0</v>
      </c>
      <c r="N85" s="432"/>
      <c r="O85" s="432">
        <v>0</v>
      </c>
      <c r="P85" s="777"/>
      <c r="Q85" s="1190"/>
    </row>
    <row r="86" spans="2:17" s="768" customFormat="1" ht="15.75">
      <c r="B86" s="774">
        <v>32229</v>
      </c>
      <c r="C86" s="433"/>
      <c r="D86" s="775" t="s">
        <v>1465</v>
      </c>
      <c r="E86" s="433"/>
      <c r="F86" s="432"/>
      <c r="G86" s="432">
        <v>297000000</v>
      </c>
      <c r="H86" s="432"/>
      <c r="I86" s="432">
        <v>297000000</v>
      </c>
      <c r="J86" s="432"/>
      <c r="K86" s="432">
        <v>294626713.02999997</v>
      </c>
      <c r="L86" s="432"/>
      <c r="M86" s="432">
        <f t="shared" ref="M86" si="2">O86-K86</f>
        <v>0</v>
      </c>
      <c r="N86" s="432"/>
      <c r="O86" s="432">
        <v>294626713.02999997</v>
      </c>
      <c r="P86" s="777"/>
      <c r="Q86" s="1190"/>
    </row>
    <row r="87" spans="2:17" s="768" customFormat="1" ht="15.75">
      <c r="B87" s="774">
        <v>32230</v>
      </c>
      <c r="C87" s="433"/>
      <c r="D87" s="775" t="s">
        <v>1452</v>
      </c>
      <c r="E87" s="433"/>
      <c r="F87" s="432"/>
      <c r="G87" s="432">
        <v>0</v>
      </c>
      <c r="H87" s="432"/>
      <c r="I87" s="432">
        <v>0</v>
      </c>
      <c r="J87" s="432"/>
      <c r="K87" s="432">
        <v>0</v>
      </c>
      <c r="L87" s="432"/>
      <c r="M87" s="432">
        <f t="shared" si="1"/>
        <v>0</v>
      </c>
      <c r="N87" s="432"/>
      <c r="O87" s="432">
        <v>0</v>
      </c>
      <c r="P87" s="777"/>
      <c r="Q87" s="1190"/>
    </row>
    <row r="88" spans="2:17" s="768" customFormat="1" ht="15.75">
      <c r="B88" s="774">
        <v>32231</v>
      </c>
      <c r="D88" s="757" t="s">
        <v>1509</v>
      </c>
      <c r="E88" s="433"/>
      <c r="F88" s="432"/>
      <c r="G88" s="432">
        <v>0</v>
      </c>
      <c r="H88" s="432"/>
      <c r="I88" s="432">
        <v>0</v>
      </c>
      <c r="J88" s="432"/>
      <c r="K88" s="432">
        <v>0</v>
      </c>
      <c r="L88" s="432"/>
      <c r="M88" s="432">
        <f t="shared" si="1"/>
        <v>0</v>
      </c>
      <c r="N88" s="432"/>
      <c r="O88" s="432">
        <v>0</v>
      </c>
      <c r="P88" s="777"/>
      <c r="Q88" s="1190"/>
    </row>
    <row r="89" spans="2:17" s="768" customFormat="1" ht="15.75">
      <c r="B89" s="774">
        <v>32232</v>
      </c>
      <c r="D89" s="757" t="s">
        <v>1510</v>
      </c>
      <c r="E89" s="433"/>
      <c r="F89" s="432"/>
      <c r="G89" s="432">
        <v>0</v>
      </c>
      <c r="H89" s="432"/>
      <c r="I89" s="432">
        <v>0</v>
      </c>
      <c r="J89" s="432"/>
      <c r="K89" s="432">
        <v>0</v>
      </c>
      <c r="L89" s="432"/>
      <c r="M89" s="432">
        <f t="shared" si="1"/>
        <v>0</v>
      </c>
      <c r="N89" s="432"/>
      <c r="O89" s="432">
        <v>0</v>
      </c>
      <c r="P89" s="777"/>
      <c r="Q89" s="1190"/>
    </row>
    <row r="90" spans="2:17" s="768" customFormat="1" ht="15.75">
      <c r="B90" s="774">
        <v>32301</v>
      </c>
      <c r="C90" s="433"/>
      <c r="D90" s="775" t="s">
        <v>1141</v>
      </c>
      <c r="E90" s="433"/>
      <c r="F90" s="432"/>
      <c r="G90" s="432">
        <v>0</v>
      </c>
      <c r="H90" s="432"/>
      <c r="I90" s="432">
        <v>0</v>
      </c>
      <c r="J90" s="432"/>
      <c r="K90" s="432">
        <v>0</v>
      </c>
      <c r="L90" s="432"/>
      <c r="M90" s="432">
        <f t="shared" si="1"/>
        <v>0</v>
      </c>
      <c r="N90" s="432"/>
      <c r="O90" s="432">
        <v>0</v>
      </c>
      <c r="P90" s="777"/>
      <c r="Q90" s="1190"/>
    </row>
    <row r="91" spans="2:17" s="768" customFormat="1" ht="15.75">
      <c r="B91" s="774">
        <v>32302</v>
      </c>
      <c r="C91" s="433"/>
      <c r="D91" s="775" t="s">
        <v>1142</v>
      </c>
      <c r="E91" s="433"/>
      <c r="F91" s="432"/>
      <c r="G91" s="432">
        <v>0</v>
      </c>
      <c r="H91" s="432"/>
      <c r="I91" s="432">
        <v>0</v>
      </c>
      <c r="J91" s="432"/>
      <c r="K91" s="432">
        <v>0</v>
      </c>
      <c r="L91" s="432"/>
      <c r="M91" s="432">
        <f t="shared" si="1"/>
        <v>0</v>
      </c>
      <c r="N91" s="432"/>
      <c r="O91" s="432">
        <v>0</v>
      </c>
      <c r="P91" s="777"/>
      <c r="Q91" s="1190"/>
    </row>
    <row r="92" spans="2:17" s="768" customFormat="1" ht="15.75">
      <c r="B92" s="774">
        <v>32303</v>
      </c>
      <c r="C92" s="433"/>
      <c r="D92" s="775" t="s">
        <v>1143</v>
      </c>
      <c r="E92" s="782"/>
      <c r="F92" s="432"/>
      <c r="G92" s="432">
        <v>260246272.22</v>
      </c>
      <c r="H92" s="432"/>
      <c r="I92" s="432">
        <v>270193406.60000002</v>
      </c>
      <c r="J92" s="432"/>
      <c r="K92" s="432">
        <v>274354686.44</v>
      </c>
      <c r="L92" s="432"/>
      <c r="M92" s="432">
        <f t="shared" si="1"/>
        <v>16498735.110000014</v>
      </c>
      <c r="N92" s="432"/>
      <c r="O92" s="432">
        <v>290853421.55000001</v>
      </c>
      <c r="P92" s="777"/>
      <c r="Q92" s="1190"/>
    </row>
    <row r="93" spans="2:17" s="768" customFormat="1" ht="15.75">
      <c r="B93" s="774">
        <v>32304</v>
      </c>
      <c r="C93" s="433"/>
      <c r="D93" s="775" t="s">
        <v>1144</v>
      </c>
      <c r="E93" s="782"/>
      <c r="F93" s="432"/>
      <c r="G93" s="432">
        <v>0</v>
      </c>
      <c r="H93" s="432"/>
      <c r="I93" s="432">
        <v>0</v>
      </c>
      <c r="J93" s="432"/>
      <c r="K93" s="432">
        <v>0</v>
      </c>
      <c r="L93" s="432"/>
      <c r="M93" s="432">
        <f t="shared" si="1"/>
        <v>0</v>
      </c>
      <c r="N93" s="432"/>
      <c r="O93" s="432">
        <v>0</v>
      </c>
      <c r="P93" s="777"/>
      <c r="Q93" s="1190"/>
    </row>
    <row r="94" spans="2:17" s="768" customFormat="1" ht="15.75">
      <c r="B94" s="774">
        <v>32305</v>
      </c>
      <c r="C94" s="433"/>
      <c r="D94" s="775" t="s">
        <v>1145</v>
      </c>
      <c r="E94" s="782"/>
      <c r="F94" s="432"/>
      <c r="G94" s="432">
        <v>276313554.75999999</v>
      </c>
      <c r="H94" s="432"/>
      <c r="I94" s="432">
        <v>277344266.75999999</v>
      </c>
      <c r="J94" s="432"/>
      <c r="K94" s="432">
        <v>277825687.31999999</v>
      </c>
      <c r="L94" s="432"/>
      <c r="M94" s="432">
        <f t="shared" si="1"/>
        <v>507110.75</v>
      </c>
      <c r="N94" s="432"/>
      <c r="O94" s="432">
        <v>278332798.06999999</v>
      </c>
      <c r="P94" s="777"/>
      <c r="Q94" s="1190"/>
    </row>
    <row r="95" spans="2:17" s="768" customFormat="1" ht="15.75">
      <c r="B95" s="774">
        <v>32306</v>
      </c>
      <c r="C95" s="433"/>
      <c r="D95" s="775" t="s">
        <v>1146</v>
      </c>
      <c r="E95" s="782"/>
      <c r="F95" s="432"/>
      <c r="G95" s="432">
        <v>0</v>
      </c>
      <c r="H95" s="432"/>
      <c r="I95" s="432">
        <v>0</v>
      </c>
      <c r="J95" s="432"/>
      <c r="K95" s="432">
        <v>0</v>
      </c>
      <c r="L95" s="432"/>
      <c r="M95" s="432">
        <f t="shared" si="1"/>
        <v>0</v>
      </c>
      <c r="N95" s="432"/>
      <c r="O95" s="432">
        <v>0</v>
      </c>
      <c r="P95" s="777"/>
      <c r="Q95" s="1190"/>
    </row>
    <row r="96" spans="2:17" s="768" customFormat="1" ht="15.75">
      <c r="B96" s="774">
        <v>32307</v>
      </c>
      <c r="C96" s="433"/>
      <c r="D96" s="780" t="s">
        <v>1147</v>
      </c>
      <c r="E96" s="782"/>
      <c r="F96" s="432"/>
      <c r="G96" s="432">
        <v>13617098.210000001</v>
      </c>
      <c r="H96" s="432"/>
      <c r="I96" s="432">
        <v>13617098.210000001</v>
      </c>
      <c r="J96" s="432"/>
      <c r="K96" s="432">
        <v>13617098.210000001</v>
      </c>
      <c r="L96" s="432"/>
      <c r="M96" s="432">
        <f t="shared" si="1"/>
        <v>3124138</v>
      </c>
      <c r="N96" s="432"/>
      <c r="O96" s="432">
        <v>16741236.210000001</v>
      </c>
      <c r="P96" s="777"/>
      <c r="Q96" s="1190"/>
    </row>
    <row r="97" spans="2:18" s="768" customFormat="1" ht="15.75">
      <c r="B97" s="774">
        <v>32308</v>
      </c>
      <c r="C97" s="433"/>
      <c r="D97" s="780" t="s">
        <v>1148</v>
      </c>
      <c r="E97" s="782"/>
      <c r="F97" s="432"/>
      <c r="G97" s="432">
        <v>0</v>
      </c>
      <c r="H97" s="432"/>
      <c r="I97" s="432">
        <v>0</v>
      </c>
      <c r="J97" s="432"/>
      <c r="K97" s="432">
        <v>0</v>
      </c>
      <c r="L97" s="432"/>
      <c r="M97" s="432">
        <f t="shared" si="1"/>
        <v>0</v>
      </c>
      <c r="N97" s="432"/>
      <c r="O97" s="432">
        <v>0</v>
      </c>
      <c r="P97" s="777"/>
      <c r="Q97" s="1190"/>
    </row>
    <row r="98" spans="2:18" s="768" customFormat="1" ht="15.75">
      <c r="B98" s="774">
        <v>32309</v>
      </c>
      <c r="C98" s="433"/>
      <c r="D98" s="780" t="s">
        <v>1149</v>
      </c>
      <c r="E98" s="782"/>
      <c r="F98" s="432"/>
      <c r="G98" s="432">
        <v>181805059.94999999</v>
      </c>
      <c r="H98" s="432"/>
      <c r="I98" s="432">
        <v>189460084.84</v>
      </c>
      <c r="J98" s="432"/>
      <c r="K98" s="432">
        <v>223092198.28</v>
      </c>
      <c r="L98" s="432"/>
      <c r="M98" s="432">
        <f t="shared" si="1"/>
        <v>13912318.359999985</v>
      </c>
      <c r="N98" s="432"/>
      <c r="O98" s="432">
        <v>237004516.63999999</v>
      </c>
      <c r="P98" s="777"/>
      <c r="Q98" s="1190"/>
    </row>
    <row r="99" spans="2:18" s="768" customFormat="1" ht="15.75">
      <c r="B99" s="774">
        <v>32310</v>
      </c>
      <c r="C99" s="433"/>
      <c r="D99" s="780" t="s">
        <v>1150</v>
      </c>
      <c r="E99" s="782"/>
      <c r="F99" s="432"/>
      <c r="G99" s="432">
        <v>8482571.5899999999</v>
      </c>
      <c r="H99" s="432"/>
      <c r="I99" s="432">
        <v>31041461.98</v>
      </c>
      <c r="J99" s="432"/>
      <c r="K99" s="432">
        <v>33659274.880000003</v>
      </c>
      <c r="L99" s="432"/>
      <c r="M99" s="432">
        <f t="shared" si="1"/>
        <v>10178320.599999994</v>
      </c>
      <c r="N99" s="432"/>
      <c r="O99" s="432">
        <v>43837595.479999997</v>
      </c>
      <c r="P99" s="777"/>
      <c r="Q99" s="1190"/>
    </row>
    <row r="100" spans="2:18" s="768" customFormat="1" ht="15.75">
      <c r="B100" s="774">
        <v>32311</v>
      </c>
      <c r="C100" s="433"/>
      <c r="D100" s="943" t="s">
        <v>1151</v>
      </c>
      <c r="E100" s="782"/>
      <c r="F100" s="432"/>
      <c r="G100" s="432">
        <v>8493752.2799999993</v>
      </c>
      <c r="H100" s="432"/>
      <c r="I100" s="432">
        <v>8665118.9900000002</v>
      </c>
      <c r="J100" s="432"/>
      <c r="K100" s="432">
        <v>9727067.5199999996</v>
      </c>
      <c r="L100" s="432"/>
      <c r="M100" s="432">
        <f t="shared" si="1"/>
        <v>2482513.6300000008</v>
      </c>
      <c r="N100" s="432"/>
      <c r="O100" s="432">
        <v>12209581.15</v>
      </c>
      <c r="P100" s="777"/>
      <c r="Q100" s="1190"/>
    </row>
    <row r="101" spans="2:18" s="768" customFormat="1" ht="15.75">
      <c r="B101" s="774">
        <v>32351</v>
      </c>
      <c r="C101" s="757"/>
      <c r="D101" s="780" t="s">
        <v>1152</v>
      </c>
      <c r="E101" s="782"/>
      <c r="F101" s="432"/>
      <c r="G101" s="432">
        <v>0</v>
      </c>
      <c r="H101" s="432"/>
      <c r="I101" s="432">
        <v>0</v>
      </c>
      <c r="J101" s="432"/>
      <c r="K101" s="432">
        <v>0</v>
      </c>
      <c r="L101" s="432"/>
      <c r="M101" s="432">
        <f t="shared" si="1"/>
        <v>0</v>
      </c>
      <c r="N101" s="432"/>
      <c r="O101" s="432">
        <v>0</v>
      </c>
      <c r="P101" s="777"/>
      <c r="Q101" s="1190"/>
    </row>
    <row r="102" spans="2:18" s="768" customFormat="1" ht="15.75">
      <c r="B102" s="774">
        <v>32352</v>
      </c>
      <c r="C102" s="433"/>
      <c r="D102" s="775" t="s">
        <v>1153</v>
      </c>
      <c r="E102" s="782"/>
      <c r="F102" s="432"/>
      <c r="G102" s="432">
        <v>86223827.790000007</v>
      </c>
      <c r="H102" s="432"/>
      <c r="I102" s="432">
        <v>97853868.379999995</v>
      </c>
      <c r="J102" s="432"/>
      <c r="K102" s="432">
        <v>128694724.44</v>
      </c>
      <c r="L102" s="432"/>
      <c r="M102" s="432">
        <f t="shared" si="1"/>
        <v>39840020.319999993</v>
      </c>
      <c r="N102" s="432"/>
      <c r="O102" s="432">
        <v>168534744.75999999</v>
      </c>
      <c r="P102" s="777"/>
      <c r="Q102" s="1190"/>
    </row>
    <row r="103" spans="2:18" s="768" customFormat="1" ht="15.75">
      <c r="B103" s="774">
        <v>32353</v>
      </c>
      <c r="C103" s="757"/>
      <c r="D103" s="775" t="s">
        <v>1154</v>
      </c>
      <c r="E103" s="782"/>
      <c r="F103" s="432"/>
      <c r="G103" s="432">
        <v>0</v>
      </c>
      <c r="H103" s="432"/>
      <c r="I103" s="432">
        <v>0</v>
      </c>
      <c r="J103" s="432"/>
      <c r="K103" s="432">
        <v>0</v>
      </c>
      <c r="L103" s="432"/>
      <c r="M103" s="432">
        <f t="shared" si="1"/>
        <v>0</v>
      </c>
      <c r="N103" s="432"/>
      <c r="O103" s="432">
        <v>0</v>
      </c>
      <c r="P103" s="777"/>
      <c r="Q103" s="1190"/>
    </row>
    <row r="104" spans="2:18" s="768" customFormat="1" ht="16.5" thickBot="1">
      <c r="B104" s="783"/>
      <c r="C104" s="784"/>
      <c r="D104" s="778" t="s">
        <v>1155</v>
      </c>
      <c r="E104" s="772"/>
      <c r="F104" s="772"/>
      <c r="G104" s="1658">
        <f>SUM(G14:G103)</f>
        <v>3733887472.5800004</v>
      </c>
      <c r="H104" s="1659"/>
      <c r="I104" s="1658">
        <f>SUM(I14:I103)</f>
        <v>3825932844.9500003</v>
      </c>
      <c r="J104" s="1659"/>
      <c r="K104" s="1658">
        <f>SUM(K14:K103)</f>
        <v>4021651347.8100009</v>
      </c>
      <c r="L104"/>
      <c r="M104" s="1658">
        <f>SUM(M14:M103)</f>
        <v>311376978.25999993</v>
      </c>
      <c r="N104"/>
      <c r="O104" s="1658">
        <f>SUM(O14:O103)</f>
        <v>4333028326.0700006</v>
      </c>
      <c r="P104" s="777"/>
      <c r="Q104" s="1190"/>
      <c r="R104" s="1190"/>
    </row>
    <row r="105" spans="2:18" s="768" customFormat="1" ht="16.5" thickTop="1">
      <c r="B105" s="773"/>
      <c r="C105" s="773"/>
      <c r="D105" s="785"/>
      <c r="E105" s="773"/>
      <c r="F105" s="773"/>
      <c r="G105" s="915"/>
      <c r="H105" s="266"/>
      <c r="I105" s="915"/>
      <c r="J105" s="266"/>
      <c r="K105" s="915"/>
      <c r="L105" s="266"/>
      <c r="M105" s="1660"/>
      <c r="N105" s="266"/>
      <c r="O105" s="915"/>
      <c r="P105" s="786"/>
      <c r="Q105" s="1190"/>
    </row>
    <row r="106" spans="2:18" s="768" customFormat="1" ht="15.75">
      <c r="B106" s="769"/>
      <c r="C106" s="784"/>
      <c r="D106" s="787" t="s">
        <v>1156</v>
      </c>
      <c r="E106" s="788"/>
      <c r="F106" s="788"/>
      <c r="G106" s="916"/>
      <c r="H106" s="1661"/>
      <c r="I106" s="916"/>
      <c r="J106" s="1661"/>
      <c r="K106" s="916"/>
      <c r="L106" s="1661"/>
      <c r="M106" s="1659"/>
      <c r="N106" s="1659"/>
      <c r="O106" s="916"/>
      <c r="P106" s="773"/>
      <c r="Q106" s="1190"/>
    </row>
    <row r="107" spans="2:18" s="768" customFormat="1" ht="15.75">
      <c r="B107" s="774">
        <v>20401</v>
      </c>
      <c r="C107" s="784"/>
      <c r="D107" s="775" t="s">
        <v>1157</v>
      </c>
      <c r="E107" s="788"/>
      <c r="F107" s="788"/>
      <c r="G107" s="432">
        <v>0</v>
      </c>
      <c r="H107" s="432"/>
      <c r="I107" s="432">
        <v>0</v>
      </c>
      <c r="J107" s="432"/>
      <c r="K107" s="432">
        <v>0</v>
      </c>
      <c r="L107" s="432"/>
      <c r="M107" s="432">
        <f t="shared" ref="M107:M173" si="3">O107-K107</f>
        <v>0</v>
      </c>
      <c r="N107" s="432"/>
      <c r="O107" s="432">
        <v>0</v>
      </c>
      <c r="P107" s="777" t="s">
        <v>1508</v>
      </c>
      <c r="Q107" s="1190"/>
    </row>
    <row r="108" spans="2:18" s="768" customFormat="1" ht="15.75">
      <c r="B108" s="774">
        <v>20501</v>
      </c>
      <c r="C108" s="789"/>
      <c r="D108" s="775" t="s">
        <v>1158</v>
      </c>
      <c r="E108" s="790"/>
      <c r="F108" s="790"/>
      <c r="G108" s="432">
        <v>0</v>
      </c>
      <c r="H108" s="432"/>
      <c r="I108" s="432">
        <v>0</v>
      </c>
      <c r="J108" s="432"/>
      <c r="K108" s="432">
        <v>0</v>
      </c>
      <c r="L108" s="432"/>
      <c r="M108" s="432">
        <f t="shared" si="3"/>
        <v>0</v>
      </c>
      <c r="N108" s="432"/>
      <c r="O108" s="432">
        <v>0</v>
      </c>
      <c r="P108" s="777"/>
      <c r="Q108" s="1190"/>
    </row>
    <row r="109" spans="2:18" s="768" customFormat="1" ht="15.75">
      <c r="B109" s="774">
        <v>20810</v>
      </c>
      <c r="C109" s="781"/>
      <c r="D109" s="775" t="s">
        <v>1159</v>
      </c>
      <c r="E109" s="782"/>
      <c r="F109" s="782"/>
      <c r="G109" s="432">
        <v>0</v>
      </c>
      <c r="H109" s="432"/>
      <c r="I109" s="432">
        <v>18751684.260000002</v>
      </c>
      <c r="J109" s="432"/>
      <c r="K109" s="432">
        <v>93936134.040000007</v>
      </c>
      <c r="L109" s="432"/>
      <c r="M109" s="432">
        <f t="shared" si="3"/>
        <v>-93936134.040000007</v>
      </c>
      <c r="N109" s="432"/>
      <c r="O109" s="432">
        <v>0</v>
      </c>
      <c r="P109" s="681"/>
      <c r="Q109" s="1190"/>
    </row>
    <row r="110" spans="2:18" s="768" customFormat="1" ht="15.75">
      <c r="B110" s="774">
        <v>20818</v>
      </c>
      <c r="C110" s="781"/>
      <c r="D110" s="775" t="s">
        <v>1160</v>
      </c>
      <c r="E110" s="782"/>
      <c r="F110" s="782"/>
      <c r="G110" s="432">
        <v>0</v>
      </c>
      <c r="H110" s="432"/>
      <c r="I110" s="432">
        <v>0</v>
      </c>
      <c r="J110" s="432"/>
      <c r="K110" s="432">
        <v>0</v>
      </c>
      <c r="L110" s="432"/>
      <c r="M110" s="432">
        <f t="shared" si="3"/>
        <v>0</v>
      </c>
      <c r="N110" s="432"/>
      <c r="O110" s="432">
        <v>0</v>
      </c>
      <c r="P110" s="681"/>
      <c r="Q110" s="1190"/>
    </row>
    <row r="111" spans="2:18" s="768" customFormat="1" ht="15.75">
      <c r="B111" s="774">
        <v>20851</v>
      </c>
      <c r="C111" s="781"/>
      <c r="D111" s="775" t="s">
        <v>1511</v>
      </c>
      <c r="E111" s="782"/>
      <c r="F111" s="782"/>
      <c r="G111" s="432">
        <v>0</v>
      </c>
      <c r="H111" s="432"/>
      <c r="I111" s="432">
        <v>0</v>
      </c>
      <c r="J111" s="432"/>
      <c r="K111" s="432">
        <v>0</v>
      </c>
      <c r="L111" s="432"/>
      <c r="M111" s="432">
        <f t="shared" ref="M111" si="4">O111-K111</f>
        <v>0</v>
      </c>
      <c r="N111" s="432"/>
      <c r="O111" s="432">
        <v>0</v>
      </c>
      <c r="P111" s="681"/>
      <c r="Q111" s="1190"/>
    </row>
    <row r="112" spans="2:18" s="768" customFormat="1" ht="15.75">
      <c r="B112" s="774">
        <v>20852</v>
      </c>
      <c r="C112" s="781"/>
      <c r="D112" s="775" t="s">
        <v>1512</v>
      </c>
      <c r="E112" s="782"/>
      <c r="F112" s="782"/>
      <c r="G112" s="432">
        <v>0</v>
      </c>
      <c r="H112" s="432"/>
      <c r="I112" s="432">
        <v>0</v>
      </c>
      <c r="J112" s="432"/>
      <c r="K112" s="432">
        <v>0</v>
      </c>
      <c r="L112" s="432"/>
      <c r="M112" s="432">
        <f t="shared" ref="M112" si="5">O112-K112</f>
        <v>0</v>
      </c>
      <c r="N112" s="432"/>
      <c r="O112" s="432">
        <v>0</v>
      </c>
      <c r="P112" s="681"/>
      <c r="Q112" s="1190"/>
    </row>
    <row r="113" spans="2:17" s="768" customFormat="1" ht="15.75">
      <c r="B113" s="774">
        <v>20853</v>
      </c>
      <c r="C113" s="781"/>
      <c r="D113" s="775" t="s">
        <v>1513</v>
      </c>
      <c r="E113" s="782"/>
      <c r="F113" s="782"/>
      <c r="G113" s="432">
        <v>0</v>
      </c>
      <c r="H113" s="432"/>
      <c r="I113" s="432">
        <v>0</v>
      </c>
      <c r="J113" s="432"/>
      <c r="K113" s="432">
        <v>0</v>
      </c>
      <c r="L113" s="432"/>
      <c r="M113" s="432">
        <f t="shared" ref="M113" si="6">O113-K113</f>
        <v>0</v>
      </c>
      <c r="N113" s="432"/>
      <c r="O113" s="432">
        <v>0</v>
      </c>
      <c r="P113" s="681"/>
      <c r="Q113" s="1190"/>
    </row>
    <row r="114" spans="2:17" s="768" customFormat="1" ht="15.75">
      <c r="B114" s="774">
        <v>20901</v>
      </c>
      <c r="C114" s="781"/>
      <c r="D114" s="775" t="s">
        <v>1161</v>
      </c>
      <c r="E114" s="782"/>
      <c r="F114" s="782"/>
      <c r="G114" s="432">
        <v>0</v>
      </c>
      <c r="H114" s="432"/>
      <c r="I114" s="432">
        <v>0</v>
      </c>
      <c r="J114" s="432"/>
      <c r="K114" s="432">
        <v>0</v>
      </c>
      <c r="L114" s="432"/>
      <c r="M114" s="432">
        <f t="shared" si="3"/>
        <v>0</v>
      </c>
      <c r="N114" s="432"/>
      <c r="O114" s="432">
        <v>0</v>
      </c>
      <c r="P114" s="681"/>
      <c r="Q114" s="1190"/>
    </row>
    <row r="115" spans="2:17" s="768" customFormat="1" ht="15.75">
      <c r="B115" s="774">
        <v>20904</v>
      </c>
      <c r="C115" s="781"/>
      <c r="D115" s="775" t="s">
        <v>1162</v>
      </c>
      <c r="E115" s="782"/>
      <c r="F115" s="782"/>
      <c r="G115" s="432">
        <v>0</v>
      </c>
      <c r="H115" s="432"/>
      <c r="I115" s="432">
        <v>0</v>
      </c>
      <c r="J115" s="432"/>
      <c r="K115" s="432">
        <v>0</v>
      </c>
      <c r="L115" s="432"/>
      <c r="M115" s="432">
        <f t="shared" si="3"/>
        <v>0</v>
      </c>
      <c r="N115" s="432"/>
      <c r="O115" s="432">
        <v>0</v>
      </c>
      <c r="P115" s="681"/>
      <c r="Q115" s="1190"/>
    </row>
    <row r="116" spans="2:17" s="768" customFormat="1" ht="15.75">
      <c r="B116" s="774">
        <v>21001</v>
      </c>
      <c r="C116" s="781"/>
      <c r="D116" s="775" t="s">
        <v>1163</v>
      </c>
      <c r="E116" s="782"/>
      <c r="F116" s="782"/>
      <c r="G116" s="432">
        <v>0</v>
      </c>
      <c r="H116" s="432"/>
      <c r="I116" s="432">
        <v>0</v>
      </c>
      <c r="J116" s="432"/>
      <c r="K116" s="432">
        <v>0</v>
      </c>
      <c r="L116" s="432"/>
      <c r="M116" s="432">
        <f t="shared" si="3"/>
        <v>0</v>
      </c>
      <c r="N116" s="432"/>
      <c r="O116" s="432">
        <v>0</v>
      </c>
      <c r="P116" s="681"/>
      <c r="Q116" s="1190"/>
    </row>
    <row r="117" spans="2:17" s="768" customFormat="1" ht="15.75">
      <c r="B117" s="774">
        <v>21002</v>
      </c>
      <c r="C117" s="781"/>
      <c r="D117" s="775" t="s">
        <v>1164</v>
      </c>
      <c r="E117" s="782"/>
      <c r="F117" s="782"/>
      <c r="G117" s="432">
        <v>0</v>
      </c>
      <c r="H117" s="432"/>
      <c r="I117" s="432">
        <v>0</v>
      </c>
      <c r="J117" s="432"/>
      <c r="K117" s="432">
        <v>0</v>
      </c>
      <c r="L117" s="432"/>
      <c r="M117" s="432">
        <f t="shared" si="3"/>
        <v>0</v>
      </c>
      <c r="N117" s="432"/>
      <c r="O117" s="432">
        <v>0</v>
      </c>
      <c r="P117" s="681"/>
      <c r="Q117" s="1190"/>
    </row>
    <row r="118" spans="2:17" s="768" customFormat="1" ht="15.75">
      <c r="B118" s="774">
        <v>21061</v>
      </c>
      <c r="C118" s="781"/>
      <c r="D118" s="775" t="s">
        <v>1165</v>
      </c>
      <c r="E118" s="782"/>
      <c r="F118" s="782"/>
      <c r="G118" s="432">
        <v>0</v>
      </c>
      <c r="H118" s="432"/>
      <c r="I118" s="432">
        <v>0</v>
      </c>
      <c r="J118" s="432"/>
      <c r="K118" s="432">
        <v>0</v>
      </c>
      <c r="L118" s="432"/>
      <c r="M118" s="432">
        <f t="shared" si="3"/>
        <v>0</v>
      </c>
      <c r="N118" s="432"/>
      <c r="O118" s="432">
        <v>0</v>
      </c>
      <c r="P118" s="777" t="s">
        <v>1508</v>
      </c>
      <c r="Q118" s="1190"/>
    </row>
    <row r="119" spans="2:17" s="768" customFormat="1" ht="15.75">
      <c r="B119" s="774">
        <v>21064</v>
      </c>
      <c r="C119" s="781"/>
      <c r="D119" s="775" t="s">
        <v>1166</v>
      </c>
      <c r="E119" s="782"/>
      <c r="F119" s="782"/>
      <c r="G119" s="432">
        <v>718.65</v>
      </c>
      <c r="H119" s="432"/>
      <c r="I119" s="432">
        <v>718.65</v>
      </c>
      <c r="J119" s="432"/>
      <c r="K119" s="432">
        <v>718.65</v>
      </c>
      <c r="L119" s="432"/>
      <c r="M119" s="432">
        <f t="shared" si="3"/>
        <v>0</v>
      </c>
      <c r="N119" s="432"/>
      <c r="O119" s="432">
        <v>718.65</v>
      </c>
      <c r="P119" s="681"/>
      <c r="Q119" s="1190"/>
    </row>
    <row r="120" spans="2:17" s="768" customFormat="1" ht="15.75">
      <c r="B120" s="774">
        <v>21065</v>
      </c>
      <c r="C120" s="781"/>
      <c r="D120" s="775" t="s">
        <v>1167</v>
      </c>
      <c r="E120" s="782"/>
      <c r="F120" s="782"/>
      <c r="G120" s="432">
        <v>0</v>
      </c>
      <c r="H120" s="432"/>
      <c r="I120" s="432">
        <v>0</v>
      </c>
      <c r="J120" s="432"/>
      <c r="K120" s="432">
        <v>0</v>
      </c>
      <c r="L120" s="432"/>
      <c r="M120" s="432">
        <f t="shared" si="3"/>
        <v>0</v>
      </c>
      <c r="N120" s="432"/>
      <c r="O120" s="432">
        <v>0</v>
      </c>
      <c r="P120" s="681"/>
      <c r="Q120" s="1190"/>
    </row>
    <row r="121" spans="2:17" s="768" customFormat="1" ht="15.75">
      <c r="B121" s="774">
        <v>21066</v>
      </c>
      <c r="C121" s="781"/>
      <c r="D121" s="780" t="s">
        <v>1168</v>
      </c>
      <c r="E121" s="782"/>
      <c r="F121" s="782"/>
      <c r="G121" s="432">
        <v>695380.5</v>
      </c>
      <c r="H121" s="432"/>
      <c r="I121" s="432">
        <v>144122.82999999999</v>
      </c>
      <c r="J121" s="432"/>
      <c r="K121" s="432">
        <v>256491</v>
      </c>
      <c r="L121" s="432"/>
      <c r="M121" s="432">
        <f t="shared" si="3"/>
        <v>379996.82999999996</v>
      </c>
      <c r="N121" s="432"/>
      <c r="O121" s="432">
        <v>636487.82999999996</v>
      </c>
      <c r="P121" s="681"/>
      <c r="Q121" s="1190"/>
    </row>
    <row r="122" spans="2:17" s="768" customFormat="1" ht="15.75">
      <c r="B122" s="774">
        <v>21067</v>
      </c>
      <c r="C122" s="781"/>
      <c r="D122" s="780" t="s">
        <v>1169</v>
      </c>
      <c r="E122" s="782"/>
      <c r="F122" s="782"/>
      <c r="G122" s="432">
        <v>0</v>
      </c>
      <c r="H122" s="432"/>
      <c r="I122" s="432">
        <v>0</v>
      </c>
      <c r="J122" s="432"/>
      <c r="K122" s="432">
        <v>0</v>
      </c>
      <c r="L122" s="432"/>
      <c r="M122" s="432">
        <f t="shared" si="3"/>
        <v>0</v>
      </c>
      <c r="N122" s="432"/>
      <c r="O122" s="432">
        <v>0</v>
      </c>
      <c r="P122" s="681"/>
      <c r="Q122" s="1190"/>
    </row>
    <row r="123" spans="2:17" s="768" customFormat="1" ht="15.75">
      <c r="B123" s="774">
        <v>21077</v>
      </c>
      <c r="C123" s="781"/>
      <c r="D123" s="775" t="s">
        <v>1170</v>
      </c>
      <c r="E123" s="782"/>
      <c r="F123" s="782"/>
      <c r="G123" s="432">
        <v>0</v>
      </c>
      <c r="H123" s="432"/>
      <c r="I123" s="432">
        <v>0</v>
      </c>
      <c r="J123" s="432"/>
      <c r="K123" s="432">
        <v>0</v>
      </c>
      <c r="L123" s="432"/>
      <c r="M123" s="432">
        <f t="shared" si="3"/>
        <v>0</v>
      </c>
      <c r="N123" s="432"/>
      <c r="O123" s="432">
        <v>0</v>
      </c>
      <c r="P123" s="777" t="s">
        <v>1508</v>
      </c>
      <c r="Q123" s="1190"/>
    </row>
    <row r="124" spans="2:17" s="768" customFormat="1" ht="15.75">
      <c r="B124" s="774">
        <v>21081</v>
      </c>
      <c r="C124" s="781"/>
      <c r="D124" s="780" t="s">
        <v>1171</v>
      </c>
      <c r="E124" s="782"/>
      <c r="F124" s="782"/>
      <c r="G124" s="432">
        <v>114590524.67</v>
      </c>
      <c r="H124" s="432"/>
      <c r="I124" s="432">
        <v>110636125.52</v>
      </c>
      <c r="J124" s="432"/>
      <c r="K124" s="432">
        <v>108433821.51000001</v>
      </c>
      <c r="L124" s="432"/>
      <c r="M124" s="432">
        <f t="shared" si="3"/>
        <v>6809460.9799999893</v>
      </c>
      <c r="N124" s="432"/>
      <c r="O124" s="432">
        <v>115243282.48999999</v>
      </c>
      <c r="P124" s="681"/>
      <c r="Q124" s="1190"/>
    </row>
    <row r="125" spans="2:17" s="768" customFormat="1" ht="15.75">
      <c r="B125" s="774">
        <v>21082</v>
      </c>
      <c r="C125" s="781"/>
      <c r="D125" s="775" t="s">
        <v>1172</v>
      </c>
      <c r="E125" s="782"/>
      <c r="F125" s="782"/>
      <c r="G125" s="432">
        <v>3234571.33</v>
      </c>
      <c r="H125" s="432"/>
      <c r="I125" s="432">
        <v>3230107.59</v>
      </c>
      <c r="J125" s="432"/>
      <c r="K125" s="432">
        <v>3105959.5</v>
      </c>
      <c r="L125" s="432"/>
      <c r="M125" s="432">
        <f t="shared" si="3"/>
        <v>1046284.3999999999</v>
      </c>
      <c r="N125" s="432"/>
      <c r="O125" s="432">
        <v>4152243.9</v>
      </c>
      <c r="P125" s="681"/>
      <c r="Q125" s="1190"/>
    </row>
    <row r="126" spans="2:17" s="768" customFormat="1" ht="15.75">
      <c r="B126" s="774">
        <v>21084</v>
      </c>
      <c r="C126" s="781"/>
      <c r="D126" s="775" t="s">
        <v>1173</v>
      </c>
      <c r="E126" s="782"/>
      <c r="F126" s="782"/>
      <c r="G126" s="432">
        <v>0</v>
      </c>
      <c r="H126" s="432"/>
      <c r="I126" s="432">
        <v>0</v>
      </c>
      <c r="J126" s="432"/>
      <c r="K126" s="432">
        <v>0</v>
      </c>
      <c r="L126" s="432"/>
      <c r="M126" s="432">
        <f t="shared" si="3"/>
        <v>0</v>
      </c>
      <c r="N126" s="432"/>
      <c r="O126" s="432">
        <v>0</v>
      </c>
      <c r="P126" s="777" t="s">
        <v>1508</v>
      </c>
      <c r="Q126" s="1190"/>
    </row>
    <row r="127" spans="2:17" s="768" customFormat="1" ht="15.75">
      <c r="B127" s="774">
        <v>21087</v>
      </c>
      <c r="C127" s="781"/>
      <c r="D127" s="775" t="s">
        <v>1174</v>
      </c>
      <c r="E127" s="782"/>
      <c r="F127" s="782"/>
      <c r="G127" s="432">
        <v>0</v>
      </c>
      <c r="H127" s="432"/>
      <c r="I127" s="432">
        <v>0</v>
      </c>
      <c r="J127" s="432"/>
      <c r="K127" s="432">
        <v>0</v>
      </c>
      <c r="L127" s="432"/>
      <c r="M127" s="432">
        <f t="shared" si="3"/>
        <v>0</v>
      </c>
      <c r="N127" s="432"/>
      <c r="O127" s="432">
        <v>0</v>
      </c>
      <c r="P127" s="777" t="s">
        <v>1508</v>
      </c>
      <c r="Q127" s="1190"/>
    </row>
    <row r="128" spans="2:17" s="768" customFormat="1" ht="15.75">
      <c r="B128" s="774">
        <v>21201</v>
      </c>
      <c r="C128" s="781"/>
      <c r="D128" s="775" t="s">
        <v>1175</v>
      </c>
      <c r="E128" s="782"/>
      <c r="F128" s="782"/>
      <c r="G128" s="432">
        <v>0</v>
      </c>
      <c r="H128" s="432"/>
      <c r="I128" s="432">
        <v>51551</v>
      </c>
      <c r="J128" s="432"/>
      <c r="K128" s="432">
        <v>98702.95</v>
      </c>
      <c r="L128" s="432"/>
      <c r="M128" s="432">
        <f t="shared" si="3"/>
        <v>154130.08000000002</v>
      </c>
      <c r="N128" s="432"/>
      <c r="O128" s="432">
        <v>252833.03</v>
      </c>
      <c r="P128" s="681"/>
      <c r="Q128" s="1190"/>
    </row>
    <row r="129" spans="2:17" s="768" customFormat="1" ht="15.75">
      <c r="B129" s="774">
        <v>21202</v>
      </c>
      <c r="C129" s="781"/>
      <c r="D129" s="775" t="s">
        <v>1176</v>
      </c>
      <c r="E129" s="782"/>
      <c r="F129" s="782"/>
      <c r="G129" s="432">
        <v>0</v>
      </c>
      <c r="H129" s="432"/>
      <c r="I129" s="432">
        <v>8081.45</v>
      </c>
      <c r="J129" s="432"/>
      <c r="K129" s="432">
        <v>14618.83</v>
      </c>
      <c r="L129" s="432"/>
      <c r="M129" s="432">
        <f t="shared" si="3"/>
        <v>39517.83</v>
      </c>
      <c r="N129" s="432"/>
      <c r="O129" s="432">
        <v>54136.66</v>
      </c>
      <c r="P129" s="681"/>
      <c r="Q129" s="1190"/>
    </row>
    <row r="130" spans="2:17" s="768" customFormat="1" ht="15.75">
      <c r="B130" s="774">
        <v>21203</v>
      </c>
      <c r="C130" s="781"/>
      <c r="D130" s="775" t="s">
        <v>1177</v>
      </c>
      <c r="E130" s="782"/>
      <c r="F130" s="782"/>
      <c r="G130" s="432">
        <v>0</v>
      </c>
      <c r="H130" s="432"/>
      <c r="I130" s="432">
        <v>931387.96</v>
      </c>
      <c r="J130" s="432"/>
      <c r="K130" s="432">
        <v>1458201.71</v>
      </c>
      <c r="L130" s="432"/>
      <c r="M130" s="432">
        <f t="shared" si="3"/>
        <v>2153196.02</v>
      </c>
      <c r="N130" s="432"/>
      <c r="O130" s="432">
        <v>3611397.73</v>
      </c>
      <c r="P130" s="681"/>
      <c r="Q130" s="1190"/>
    </row>
    <row r="131" spans="2:17" s="768" customFormat="1" ht="15.75">
      <c r="B131" s="774">
        <v>21204</v>
      </c>
      <c r="C131" s="781"/>
      <c r="D131" s="775" t="s">
        <v>1178</v>
      </c>
      <c r="E131" s="782"/>
      <c r="F131" s="782"/>
      <c r="G131" s="432">
        <v>0</v>
      </c>
      <c r="H131" s="432"/>
      <c r="I131" s="432">
        <v>0</v>
      </c>
      <c r="J131" s="432"/>
      <c r="K131" s="432">
        <v>0</v>
      </c>
      <c r="L131" s="432"/>
      <c r="M131" s="432">
        <f t="shared" si="3"/>
        <v>0</v>
      </c>
      <c r="N131" s="432"/>
      <c r="O131" s="432">
        <v>0</v>
      </c>
      <c r="P131" s="681"/>
      <c r="Q131" s="1190"/>
    </row>
    <row r="132" spans="2:17" s="768" customFormat="1" ht="15.75">
      <c r="B132" s="774">
        <v>21205</v>
      </c>
      <c r="C132" s="781"/>
      <c r="D132" s="775" t="s">
        <v>1179</v>
      </c>
      <c r="E132" s="782"/>
      <c r="F132" s="782"/>
      <c r="G132" s="432">
        <v>0</v>
      </c>
      <c r="H132" s="432"/>
      <c r="I132" s="432">
        <v>0</v>
      </c>
      <c r="J132" s="432"/>
      <c r="K132" s="432">
        <v>0</v>
      </c>
      <c r="L132" s="432"/>
      <c r="M132" s="432">
        <f t="shared" si="3"/>
        <v>0</v>
      </c>
      <c r="N132" s="432"/>
      <c r="O132" s="432">
        <v>0</v>
      </c>
      <c r="P132" s="681"/>
      <c r="Q132" s="1190"/>
    </row>
    <row r="133" spans="2:17" s="768" customFormat="1" ht="15.75">
      <c r="B133" s="774">
        <v>21206</v>
      </c>
      <c r="C133" s="781"/>
      <c r="D133" s="775" t="s">
        <v>1180</v>
      </c>
      <c r="E133" s="782"/>
      <c r="F133" s="782"/>
      <c r="G133" s="432">
        <v>0</v>
      </c>
      <c r="H133" s="432"/>
      <c r="I133" s="432">
        <v>153443.03</v>
      </c>
      <c r="J133" s="432"/>
      <c r="K133" s="432">
        <v>272555.98</v>
      </c>
      <c r="L133" s="432"/>
      <c r="M133" s="432">
        <f t="shared" si="3"/>
        <v>390050.33000000007</v>
      </c>
      <c r="N133" s="432"/>
      <c r="O133" s="432">
        <v>662606.31000000006</v>
      </c>
      <c r="P133" s="681"/>
      <c r="Q133" s="1190"/>
    </row>
    <row r="134" spans="2:17" s="768" customFormat="1" ht="15.75">
      <c r="B134" s="774">
        <v>21401</v>
      </c>
      <c r="C134" s="781"/>
      <c r="D134" s="780" t="s">
        <v>1181</v>
      </c>
      <c r="E134" s="782"/>
      <c r="F134" s="782"/>
      <c r="G134" s="432">
        <v>0</v>
      </c>
      <c r="H134" s="432"/>
      <c r="I134" s="432">
        <v>0</v>
      </c>
      <c r="J134" s="432"/>
      <c r="K134" s="432">
        <v>0</v>
      </c>
      <c r="L134" s="432"/>
      <c r="M134" s="432">
        <f t="shared" si="3"/>
        <v>0</v>
      </c>
      <c r="N134" s="432"/>
      <c r="O134" s="432">
        <v>0</v>
      </c>
      <c r="P134" s="681"/>
      <c r="Q134" s="1190"/>
    </row>
    <row r="135" spans="2:17" s="768" customFormat="1" ht="15.75">
      <c r="B135" s="774">
        <v>21402</v>
      </c>
      <c r="C135" s="781"/>
      <c r="D135" s="780" t="s">
        <v>1182</v>
      </c>
      <c r="E135" s="782"/>
      <c r="F135" s="782"/>
      <c r="G135" s="432">
        <v>0</v>
      </c>
      <c r="H135" s="432"/>
      <c r="I135" s="432">
        <v>0</v>
      </c>
      <c r="J135" s="432"/>
      <c r="K135" s="432">
        <v>0</v>
      </c>
      <c r="L135" s="432"/>
      <c r="M135" s="432">
        <f t="shared" si="3"/>
        <v>0</v>
      </c>
      <c r="N135" s="432"/>
      <c r="O135" s="432">
        <v>0</v>
      </c>
      <c r="P135" s="681"/>
      <c r="Q135" s="1190"/>
    </row>
    <row r="136" spans="2:17" s="768" customFormat="1" ht="15.75">
      <c r="B136" s="774">
        <v>21451</v>
      </c>
      <c r="C136" s="781"/>
      <c r="D136" s="780" t="s">
        <v>1183</v>
      </c>
      <c r="E136" s="782"/>
      <c r="F136" s="782"/>
      <c r="G136" s="432">
        <v>51323325.210000001</v>
      </c>
      <c r="H136" s="432"/>
      <c r="I136" s="432">
        <v>51576786.189999998</v>
      </c>
      <c r="J136" s="432"/>
      <c r="K136" s="432">
        <v>51798915.840000004</v>
      </c>
      <c r="L136" s="432"/>
      <c r="M136" s="432">
        <f t="shared" si="3"/>
        <v>1000359.2799999937</v>
      </c>
      <c r="N136" s="432"/>
      <c r="O136" s="432">
        <v>52799275.119999997</v>
      </c>
      <c r="P136" s="681"/>
      <c r="Q136" s="1190"/>
    </row>
    <row r="137" spans="2:17" s="768" customFormat="1" ht="15.75">
      <c r="B137" s="774">
        <v>21452</v>
      </c>
      <c r="C137" s="781"/>
      <c r="D137" s="775" t="s">
        <v>1184</v>
      </c>
      <c r="E137" s="782"/>
      <c r="F137" s="782"/>
      <c r="G137" s="432">
        <v>0</v>
      </c>
      <c r="H137" s="432"/>
      <c r="I137" s="432">
        <v>0</v>
      </c>
      <c r="J137" s="432"/>
      <c r="K137" s="432">
        <v>0</v>
      </c>
      <c r="L137" s="432"/>
      <c r="M137" s="432">
        <f t="shared" si="3"/>
        <v>0</v>
      </c>
      <c r="N137" s="432"/>
      <c r="O137" s="432">
        <v>0</v>
      </c>
      <c r="P137" s="681"/>
      <c r="Q137" s="1190"/>
    </row>
    <row r="138" spans="2:17" s="768" customFormat="1" ht="15.75">
      <c r="B138" s="774">
        <v>21902</v>
      </c>
      <c r="C138" s="781"/>
      <c r="D138" s="780" t="s">
        <v>1185</v>
      </c>
      <c r="E138" s="782"/>
      <c r="F138" s="782"/>
      <c r="G138" s="432">
        <v>0</v>
      </c>
      <c r="H138" s="432"/>
      <c r="I138" s="432">
        <v>0</v>
      </c>
      <c r="J138" s="432"/>
      <c r="K138" s="432">
        <v>0</v>
      </c>
      <c r="L138" s="432"/>
      <c r="M138" s="432">
        <f t="shared" si="3"/>
        <v>0</v>
      </c>
      <c r="N138" s="432"/>
      <c r="O138" s="432">
        <v>0</v>
      </c>
      <c r="P138" s="777" t="s">
        <v>1508</v>
      </c>
      <c r="Q138" s="1190"/>
    </row>
    <row r="139" spans="2:17" s="768" customFormat="1" ht="15.75">
      <c r="B139" s="774">
        <v>21905</v>
      </c>
      <c r="C139" s="781"/>
      <c r="D139" s="850" t="s">
        <v>1186</v>
      </c>
      <c r="E139" s="782"/>
      <c r="F139" s="782"/>
      <c r="G139" s="432">
        <v>0</v>
      </c>
      <c r="H139" s="432"/>
      <c r="I139" s="432">
        <v>0</v>
      </c>
      <c r="J139" s="432"/>
      <c r="K139" s="432">
        <v>0</v>
      </c>
      <c r="L139" s="432"/>
      <c r="M139" s="432">
        <f t="shared" si="3"/>
        <v>0</v>
      </c>
      <c r="N139" s="432"/>
      <c r="O139" s="432">
        <v>0</v>
      </c>
      <c r="P139" s="681"/>
      <c r="Q139" s="1190"/>
    </row>
    <row r="140" spans="2:17" s="768" customFormat="1" ht="15.75">
      <c r="B140" s="774">
        <v>21911</v>
      </c>
      <c r="C140" s="781"/>
      <c r="D140" s="775" t="s">
        <v>1187</v>
      </c>
      <c r="E140" s="782"/>
      <c r="F140" s="782"/>
      <c r="G140" s="432">
        <v>710678.28</v>
      </c>
      <c r="H140" s="432"/>
      <c r="I140" s="432">
        <v>82283.399999999994</v>
      </c>
      <c r="J140" s="432"/>
      <c r="K140" s="432">
        <v>0</v>
      </c>
      <c r="L140" s="432"/>
      <c r="M140" s="432">
        <f t="shared" si="3"/>
        <v>626025.85</v>
      </c>
      <c r="N140" s="432"/>
      <c r="O140" s="432">
        <v>626025.85</v>
      </c>
      <c r="P140" s="681"/>
      <c r="Q140" s="1190"/>
    </row>
    <row r="141" spans="2:17" s="768" customFormat="1" ht="15.75">
      <c r="B141" s="774">
        <v>21912</v>
      </c>
      <c r="C141" s="781"/>
      <c r="D141" s="780" t="s">
        <v>1188</v>
      </c>
      <c r="E141" s="782"/>
      <c r="F141" s="782"/>
      <c r="G141" s="432">
        <v>2137695.98</v>
      </c>
      <c r="H141" s="432"/>
      <c r="I141" s="432">
        <v>2095698.48</v>
      </c>
      <c r="J141" s="432"/>
      <c r="K141" s="432">
        <v>2035801.08</v>
      </c>
      <c r="L141" s="432"/>
      <c r="M141" s="432">
        <f t="shared" si="3"/>
        <v>1040182.1299999999</v>
      </c>
      <c r="N141" s="432"/>
      <c r="O141" s="432">
        <v>3075983.21</v>
      </c>
      <c r="P141" s="681"/>
      <c r="Q141" s="1190"/>
    </row>
    <row r="142" spans="2:17" s="768" customFormat="1" ht="15.75">
      <c r="B142" s="774">
        <v>21937</v>
      </c>
      <c r="C142" s="781"/>
      <c r="D142" s="775" t="s">
        <v>1189</v>
      </c>
      <c r="E142" s="782"/>
      <c r="F142" s="782"/>
      <c r="G142" s="432">
        <v>0</v>
      </c>
      <c r="H142" s="432"/>
      <c r="I142" s="432">
        <v>262580.95</v>
      </c>
      <c r="J142" s="432"/>
      <c r="K142" s="432">
        <v>636454.55000000005</v>
      </c>
      <c r="L142" s="432"/>
      <c r="M142" s="432">
        <f t="shared" si="3"/>
        <v>19117.449999999953</v>
      </c>
      <c r="N142" s="432"/>
      <c r="O142" s="432">
        <v>655572</v>
      </c>
      <c r="P142" s="681"/>
      <c r="Q142" s="1190"/>
    </row>
    <row r="143" spans="2:17" s="768" customFormat="1" ht="15.75">
      <c r="B143" s="774">
        <v>21945</v>
      </c>
      <c r="C143" s="781"/>
      <c r="D143" s="780" t="s">
        <v>1190</v>
      </c>
      <c r="E143" s="782"/>
      <c r="F143" s="782"/>
      <c r="G143" s="432">
        <v>0</v>
      </c>
      <c r="H143" s="432"/>
      <c r="I143" s="432">
        <v>0</v>
      </c>
      <c r="J143" s="432"/>
      <c r="K143" s="432">
        <v>0</v>
      </c>
      <c r="L143" s="432"/>
      <c r="M143" s="432">
        <f t="shared" si="3"/>
        <v>0</v>
      </c>
      <c r="N143" s="432"/>
      <c r="O143" s="432">
        <v>0</v>
      </c>
      <c r="P143" s="777" t="s">
        <v>1508</v>
      </c>
      <c r="Q143" s="1190"/>
    </row>
    <row r="144" spans="2:17" s="768" customFormat="1" ht="15.75">
      <c r="B144" s="774">
        <v>21959</v>
      </c>
      <c r="C144" s="781"/>
      <c r="D144" s="775" t="s">
        <v>1191</v>
      </c>
      <c r="E144" s="782"/>
      <c r="F144" s="782"/>
      <c r="G144" s="432">
        <v>0</v>
      </c>
      <c r="H144" s="432"/>
      <c r="I144" s="432">
        <v>0</v>
      </c>
      <c r="J144" s="432"/>
      <c r="K144" s="432">
        <v>0</v>
      </c>
      <c r="L144" s="432"/>
      <c r="M144" s="432">
        <f t="shared" si="3"/>
        <v>0</v>
      </c>
      <c r="N144" s="432"/>
      <c r="O144" s="432">
        <v>0</v>
      </c>
      <c r="P144" s="777" t="s">
        <v>1508</v>
      </c>
      <c r="Q144" s="1190"/>
    </row>
    <row r="145" spans="2:17" s="768" customFormat="1" ht="15.75">
      <c r="B145" s="774">
        <v>21961</v>
      </c>
      <c r="C145" s="781"/>
      <c r="D145" s="775" t="s">
        <v>1192</v>
      </c>
      <c r="E145" s="782"/>
      <c r="F145" s="782"/>
      <c r="G145" s="432">
        <v>38955.269999999997</v>
      </c>
      <c r="H145" s="432"/>
      <c r="I145" s="432">
        <v>48168.89</v>
      </c>
      <c r="J145" s="432"/>
      <c r="K145" s="432">
        <v>65081.21</v>
      </c>
      <c r="L145" s="432"/>
      <c r="M145" s="432">
        <f t="shared" si="3"/>
        <v>230592.67</v>
      </c>
      <c r="N145" s="432"/>
      <c r="O145" s="432">
        <v>295673.88</v>
      </c>
      <c r="P145" s="681"/>
      <c r="Q145" s="1190"/>
    </row>
    <row r="146" spans="2:17" s="768" customFormat="1" ht="15.75">
      <c r="B146" s="774">
        <v>21962</v>
      </c>
      <c r="C146" s="781"/>
      <c r="D146" s="775" t="s">
        <v>1193</v>
      </c>
      <c r="E146" s="782"/>
      <c r="F146" s="782"/>
      <c r="G146" s="432">
        <v>11063594.99</v>
      </c>
      <c r="H146" s="432"/>
      <c r="I146" s="432">
        <v>10665627.369999999</v>
      </c>
      <c r="J146" s="432"/>
      <c r="K146" s="432">
        <v>10140595.140000001</v>
      </c>
      <c r="L146" s="432"/>
      <c r="M146" s="432">
        <f t="shared" si="3"/>
        <v>767821.72999999858</v>
      </c>
      <c r="N146" s="432"/>
      <c r="O146" s="432">
        <v>10908416.869999999</v>
      </c>
      <c r="P146" s="681"/>
      <c r="Q146" s="1190"/>
    </row>
    <row r="147" spans="2:17" s="768" customFormat="1" ht="15.75">
      <c r="B147" s="774">
        <v>21978</v>
      </c>
      <c r="C147" s="781"/>
      <c r="D147" s="780" t="s">
        <v>1194</v>
      </c>
      <c r="E147" s="782"/>
      <c r="F147" s="782"/>
      <c r="G147" s="432">
        <v>0</v>
      </c>
      <c r="H147" s="432"/>
      <c r="I147" s="432">
        <v>0</v>
      </c>
      <c r="J147" s="432"/>
      <c r="K147" s="432">
        <v>0</v>
      </c>
      <c r="L147" s="432"/>
      <c r="M147" s="432">
        <f t="shared" si="3"/>
        <v>0</v>
      </c>
      <c r="N147" s="432"/>
      <c r="O147" s="432">
        <v>0</v>
      </c>
      <c r="P147" s="681"/>
      <c r="Q147" s="1190"/>
    </row>
    <row r="148" spans="2:17" s="768" customFormat="1" ht="15.75">
      <c r="B148" s="774">
        <v>21989</v>
      </c>
      <c r="C148" s="781"/>
      <c r="D148" s="780" t="s">
        <v>1195</v>
      </c>
      <c r="E148" s="782"/>
      <c r="F148" s="782"/>
      <c r="G148" s="432">
        <v>1080439.82</v>
      </c>
      <c r="H148" s="432"/>
      <c r="I148" s="432">
        <v>1540241.17</v>
      </c>
      <c r="J148" s="432"/>
      <c r="K148" s="432">
        <v>1800598.09</v>
      </c>
      <c r="L148" s="432"/>
      <c r="M148" s="432">
        <f t="shared" si="3"/>
        <v>597247.49999999977</v>
      </c>
      <c r="N148" s="432"/>
      <c r="O148" s="432">
        <v>2397845.59</v>
      </c>
      <c r="P148" s="681"/>
      <c r="Q148" s="1190"/>
    </row>
    <row r="149" spans="2:17" s="768" customFormat="1" ht="15.75">
      <c r="B149" s="774">
        <v>22003</v>
      </c>
      <c r="C149" s="781"/>
      <c r="D149" s="780" t="s">
        <v>1196</v>
      </c>
      <c r="E149" s="782"/>
      <c r="F149" s="782"/>
      <c r="G149" s="432">
        <v>0</v>
      </c>
      <c r="H149" s="432"/>
      <c r="I149" s="432">
        <v>0</v>
      </c>
      <c r="J149" s="432"/>
      <c r="K149" s="432">
        <v>0</v>
      </c>
      <c r="L149" s="432"/>
      <c r="M149" s="432">
        <f t="shared" si="3"/>
        <v>0</v>
      </c>
      <c r="N149" s="432"/>
      <c r="O149" s="432">
        <v>0</v>
      </c>
      <c r="P149" s="681"/>
      <c r="Q149" s="1190"/>
    </row>
    <row r="150" spans="2:17" s="768" customFormat="1" ht="15.75">
      <c r="B150" s="774">
        <v>22004</v>
      </c>
      <c r="C150" s="781"/>
      <c r="D150" s="775" t="s">
        <v>1197</v>
      </c>
      <c r="E150" s="782"/>
      <c r="F150" s="782"/>
      <c r="G150" s="432">
        <v>0</v>
      </c>
      <c r="H150" s="432"/>
      <c r="I150" s="432">
        <v>0</v>
      </c>
      <c r="J150" s="432"/>
      <c r="K150" s="432">
        <v>0</v>
      </c>
      <c r="L150" s="432"/>
      <c r="M150" s="432">
        <f t="shared" si="3"/>
        <v>0</v>
      </c>
      <c r="N150" s="432"/>
      <c r="O150" s="432">
        <v>0</v>
      </c>
      <c r="P150" s="777" t="s">
        <v>1508</v>
      </c>
      <c r="Q150" s="1190"/>
    </row>
    <row r="151" spans="2:17" s="768" customFormat="1" ht="15.75">
      <c r="B151" s="774">
        <v>22006</v>
      </c>
      <c r="C151" s="781"/>
      <c r="D151" s="780" t="s">
        <v>1198</v>
      </c>
      <c r="E151" s="782"/>
      <c r="F151" s="782"/>
      <c r="G151" s="432">
        <v>0</v>
      </c>
      <c r="H151" s="432"/>
      <c r="I151" s="432">
        <v>0</v>
      </c>
      <c r="J151" s="432"/>
      <c r="K151" s="432">
        <v>0</v>
      </c>
      <c r="L151" s="432"/>
      <c r="M151" s="432">
        <f t="shared" si="3"/>
        <v>0</v>
      </c>
      <c r="N151" s="432"/>
      <c r="O151" s="432">
        <v>0</v>
      </c>
      <c r="P151" s="681"/>
      <c r="Q151" s="1190"/>
    </row>
    <row r="152" spans="2:17" s="768" customFormat="1" ht="15.75">
      <c r="B152" s="774">
        <v>22007</v>
      </c>
      <c r="C152" s="781"/>
      <c r="D152" s="775" t="s">
        <v>1199</v>
      </c>
      <c r="E152" s="782"/>
      <c r="F152" s="782"/>
      <c r="G152" s="432">
        <v>684839.95</v>
      </c>
      <c r="H152" s="432"/>
      <c r="I152" s="432">
        <v>220279.39</v>
      </c>
      <c r="J152" s="432"/>
      <c r="K152" s="432">
        <v>0</v>
      </c>
      <c r="L152" s="432"/>
      <c r="M152" s="432">
        <f t="shared" si="3"/>
        <v>0</v>
      </c>
      <c r="N152" s="432"/>
      <c r="O152" s="432">
        <v>0</v>
      </c>
      <c r="P152" s="681"/>
      <c r="Q152" s="1190"/>
    </row>
    <row r="153" spans="2:17" s="768" customFormat="1" ht="15.75">
      <c r="B153" s="774">
        <v>22008</v>
      </c>
      <c r="C153" s="781"/>
      <c r="D153" s="775" t="s">
        <v>1200</v>
      </c>
      <c r="E153" s="782"/>
      <c r="F153" s="782"/>
      <c r="G153" s="432">
        <v>1442045.63</v>
      </c>
      <c r="H153" s="432"/>
      <c r="I153" s="432">
        <v>834225.93</v>
      </c>
      <c r="J153" s="432"/>
      <c r="K153" s="432">
        <v>1030950.23</v>
      </c>
      <c r="L153" s="432"/>
      <c r="M153" s="432">
        <f t="shared" si="3"/>
        <v>384932.23</v>
      </c>
      <c r="N153" s="432"/>
      <c r="O153" s="432">
        <v>1415882.46</v>
      </c>
      <c r="P153" s="681"/>
      <c r="Q153" s="1190"/>
    </row>
    <row r="154" spans="2:17" s="768" customFormat="1" ht="15.75">
      <c r="B154" s="774">
        <v>22009</v>
      </c>
      <c r="C154" s="781"/>
      <c r="D154" s="775" t="s">
        <v>1201</v>
      </c>
      <c r="E154" s="782"/>
      <c r="F154" s="782"/>
      <c r="G154" s="432">
        <v>0</v>
      </c>
      <c r="H154" s="432"/>
      <c r="I154" s="432">
        <v>0</v>
      </c>
      <c r="J154" s="432"/>
      <c r="K154" s="432">
        <v>0</v>
      </c>
      <c r="L154" s="432"/>
      <c r="M154" s="432">
        <f t="shared" si="3"/>
        <v>0</v>
      </c>
      <c r="N154" s="432"/>
      <c r="O154" s="432">
        <v>0</v>
      </c>
      <c r="P154" s="777" t="s">
        <v>1508</v>
      </c>
      <c r="Q154" s="1190"/>
    </row>
    <row r="155" spans="2:17" s="768" customFormat="1" ht="15.75">
      <c r="B155" s="774">
        <v>22032</v>
      </c>
      <c r="C155" s="781"/>
      <c r="D155" s="775" t="s">
        <v>1202</v>
      </c>
      <c r="E155" s="782"/>
      <c r="F155" s="782"/>
      <c r="G155" s="432">
        <v>13793415.92</v>
      </c>
      <c r="H155" s="432"/>
      <c r="I155" s="432">
        <v>12888533.66</v>
      </c>
      <c r="J155" s="432"/>
      <c r="K155" s="432">
        <v>13150508.52</v>
      </c>
      <c r="L155" s="432"/>
      <c r="M155" s="432">
        <f t="shared" si="3"/>
        <v>1655279.0099999998</v>
      </c>
      <c r="N155" s="432"/>
      <c r="O155" s="432">
        <v>14805787.529999999</v>
      </c>
      <c r="P155" s="681"/>
      <c r="Q155" s="1190"/>
    </row>
    <row r="156" spans="2:17" s="768" customFormat="1" ht="15.75">
      <c r="B156" s="774">
        <v>22034</v>
      </c>
      <c r="C156" s="781"/>
      <c r="D156" s="775" t="s">
        <v>1203</v>
      </c>
      <c r="E156" s="782"/>
      <c r="F156" s="782"/>
      <c r="G156" s="432">
        <v>0</v>
      </c>
      <c r="H156" s="432"/>
      <c r="I156" s="432">
        <v>0</v>
      </c>
      <c r="J156" s="432"/>
      <c r="K156" s="432">
        <v>0</v>
      </c>
      <c r="L156" s="432"/>
      <c r="M156" s="432">
        <f t="shared" si="3"/>
        <v>0</v>
      </c>
      <c r="N156" s="432"/>
      <c r="O156" s="432">
        <v>0</v>
      </c>
      <c r="P156" s="777" t="s">
        <v>1508</v>
      </c>
      <c r="Q156" s="1190"/>
    </row>
    <row r="157" spans="2:17" s="768" customFormat="1" ht="15.75">
      <c r="B157" s="774">
        <v>22036</v>
      </c>
      <c r="C157" s="781"/>
      <c r="D157" s="775" t="s">
        <v>1204</v>
      </c>
      <c r="E157" s="782"/>
      <c r="F157" s="782"/>
      <c r="G157" s="432">
        <v>0</v>
      </c>
      <c r="H157" s="432"/>
      <c r="I157" s="432">
        <v>0</v>
      </c>
      <c r="J157" s="432"/>
      <c r="K157" s="432">
        <v>0</v>
      </c>
      <c r="L157" s="432"/>
      <c r="M157" s="432">
        <f t="shared" si="3"/>
        <v>0</v>
      </c>
      <c r="N157" s="432"/>
      <c r="O157" s="432">
        <v>0</v>
      </c>
      <c r="P157" s="777" t="s">
        <v>1508</v>
      </c>
      <c r="Q157" s="1190"/>
    </row>
    <row r="158" spans="2:17" s="768" customFormat="1" ht="15.75">
      <c r="B158" s="774">
        <v>22039</v>
      </c>
      <c r="C158" s="781"/>
      <c r="D158" s="775" t="s">
        <v>1205</v>
      </c>
      <c r="E158" s="782"/>
      <c r="F158" s="782"/>
      <c r="G158" s="432">
        <v>1221978.43</v>
      </c>
      <c r="H158" s="432"/>
      <c r="I158" s="432">
        <v>205283.35</v>
      </c>
      <c r="J158" s="432"/>
      <c r="K158" s="432">
        <v>506813.16</v>
      </c>
      <c r="L158" s="432"/>
      <c r="M158" s="432">
        <f t="shared" si="3"/>
        <v>631702.23</v>
      </c>
      <c r="N158" s="432"/>
      <c r="O158" s="432">
        <v>1138515.3899999999</v>
      </c>
      <c r="P158" s="681"/>
      <c r="Q158" s="1190"/>
    </row>
    <row r="159" spans="2:17" s="768" customFormat="1" ht="15.75">
      <c r="B159" s="774">
        <v>22046</v>
      </c>
      <c r="C159" s="781"/>
      <c r="D159" s="775" t="s">
        <v>1206</v>
      </c>
      <c r="E159" s="782"/>
      <c r="F159" s="782"/>
      <c r="G159" s="432">
        <v>136887584.72</v>
      </c>
      <c r="H159" s="432"/>
      <c r="I159" s="432">
        <v>136270111.53999999</v>
      </c>
      <c r="J159" s="432"/>
      <c r="K159" s="432">
        <v>136160447.93000001</v>
      </c>
      <c r="L159" s="432"/>
      <c r="M159" s="432">
        <f t="shared" si="3"/>
        <v>1266802.6099999845</v>
      </c>
      <c r="N159" s="432"/>
      <c r="O159" s="432">
        <v>137427250.53999999</v>
      </c>
      <c r="P159" s="681"/>
      <c r="Q159" s="1190"/>
    </row>
    <row r="160" spans="2:17" s="768" customFormat="1" ht="15.75">
      <c r="B160" s="774">
        <v>22053</v>
      </c>
      <c r="C160" s="781"/>
      <c r="D160" s="775" t="s">
        <v>1207</v>
      </c>
      <c r="E160" s="782"/>
      <c r="F160" s="782"/>
      <c r="G160" s="432">
        <v>11179631.07</v>
      </c>
      <c r="H160" s="432"/>
      <c r="I160" s="432">
        <v>11472151.789999999</v>
      </c>
      <c r="J160" s="432"/>
      <c r="K160" s="432">
        <v>11110833.43</v>
      </c>
      <c r="L160" s="432"/>
      <c r="M160" s="432">
        <f t="shared" si="3"/>
        <v>548857.45000000112</v>
      </c>
      <c r="N160" s="432"/>
      <c r="O160" s="432">
        <v>11659690.880000001</v>
      </c>
      <c r="P160" s="681"/>
      <c r="Q160" s="1190"/>
    </row>
    <row r="161" spans="2:17" s="768" customFormat="1" ht="15.75">
      <c r="B161" s="774">
        <v>22054</v>
      </c>
      <c r="C161" s="781"/>
      <c r="D161" s="775" t="s">
        <v>1208</v>
      </c>
      <c r="E161" s="782"/>
      <c r="F161" s="782"/>
      <c r="G161" s="432">
        <v>0</v>
      </c>
      <c r="H161" s="432"/>
      <c r="I161" s="432">
        <v>0</v>
      </c>
      <c r="J161" s="432"/>
      <c r="K161" s="432">
        <v>0</v>
      </c>
      <c r="L161" s="432"/>
      <c r="M161" s="432">
        <f t="shared" si="3"/>
        <v>0</v>
      </c>
      <c r="N161" s="432"/>
      <c r="O161" s="432">
        <v>0</v>
      </c>
      <c r="P161" s="777" t="s">
        <v>1508</v>
      </c>
      <c r="Q161" s="1190"/>
    </row>
    <row r="162" spans="2:17" s="768" customFormat="1" ht="15.75">
      <c r="B162" s="774">
        <v>22055</v>
      </c>
      <c r="C162" s="781"/>
      <c r="D162" s="775" t="s">
        <v>1209</v>
      </c>
      <c r="E162" s="782"/>
      <c r="F162" s="782"/>
      <c r="G162" s="432">
        <v>90755744.900000006</v>
      </c>
      <c r="H162" s="432"/>
      <c r="I162" s="432">
        <v>92706997.319999993</v>
      </c>
      <c r="J162" s="432"/>
      <c r="K162" s="432">
        <v>93371928.069999993</v>
      </c>
      <c r="L162" s="432"/>
      <c r="M162" s="432">
        <f t="shared" si="3"/>
        <v>7770439.6300000101</v>
      </c>
      <c r="N162" s="432"/>
      <c r="O162" s="432">
        <v>101142367.7</v>
      </c>
      <c r="P162" s="681"/>
      <c r="Q162" s="1190"/>
    </row>
    <row r="163" spans="2:17" s="768" customFormat="1" ht="15.75">
      <c r="B163" s="774">
        <v>22062</v>
      </c>
      <c r="C163" s="781"/>
      <c r="D163" s="775" t="s">
        <v>1210</v>
      </c>
      <c r="E163" s="782"/>
      <c r="F163" s="782"/>
      <c r="G163" s="432">
        <v>0</v>
      </c>
      <c r="H163" s="432"/>
      <c r="I163" s="432">
        <v>0</v>
      </c>
      <c r="J163" s="432"/>
      <c r="K163" s="432">
        <v>0</v>
      </c>
      <c r="L163" s="432"/>
      <c r="M163" s="432">
        <f t="shared" si="3"/>
        <v>0</v>
      </c>
      <c r="N163" s="432"/>
      <c r="O163" s="432">
        <v>0</v>
      </c>
      <c r="P163" s="777" t="s">
        <v>1508</v>
      </c>
      <c r="Q163" s="1190"/>
    </row>
    <row r="164" spans="2:17" s="768" customFormat="1" ht="15.75">
      <c r="B164" s="774">
        <v>22063</v>
      </c>
      <c r="C164" s="781"/>
      <c r="D164" s="775" t="s">
        <v>1211</v>
      </c>
      <c r="E164" s="782"/>
      <c r="F164" s="782"/>
      <c r="G164" s="432">
        <v>10060219.199999999</v>
      </c>
      <c r="H164" s="432"/>
      <c r="I164" s="432">
        <v>10603427.949999999</v>
      </c>
      <c r="J164" s="432"/>
      <c r="K164" s="432">
        <v>10228044.380000001</v>
      </c>
      <c r="L164" s="432"/>
      <c r="M164" s="432">
        <f t="shared" si="3"/>
        <v>2018935.3199999984</v>
      </c>
      <c r="N164" s="432"/>
      <c r="O164" s="432">
        <v>12246979.699999999</v>
      </c>
      <c r="P164" s="681"/>
      <c r="Q164" s="1190"/>
    </row>
    <row r="165" spans="2:17" s="768" customFormat="1" ht="15.75">
      <c r="B165" s="774">
        <v>22078</v>
      </c>
      <c r="C165" s="781"/>
      <c r="D165" s="775" t="s">
        <v>1212</v>
      </c>
      <c r="E165" s="782"/>
      <c r="F165" s="782"/>
      <c r="G165" s="432">
        <v>0</v>
      </c>
      <c r="H165" s="432"/>
      <c r="I165" s="432">
        <v>0</v>
      </c>
      <c r="J165" s="432"/>
      <c r="K165" s="432">
        <v>0</v>
      </c>
      <c r="L165" s="432"/>
      <c r="M165" s="432">
        <f t="shared" si="3"/>
        <v>0</v>
      </c>
      <c r="N165" s="432"/>
      <c r="O165" s="432">
        <v>0</v>
      </c>
      <c r="P165" s="777" t="s">
        <v>1508</v>
      </c>
      <c r="Q165" s="1190"/>
    </row>
    <row r="166" spans="2:17" s="768" customFormat="1" ht="15.75">
      <c r="B166" s="774">
        <v>22085</v>
      </c>
      <c r="C166" s="781"/>
      <c r="D166" s="775" t="s">
        <v>1213</v>
      </c>
      <c r="E166" s="782"/>
      <c r="F166" s="782"/>
      <c r="G166" s="432">
        <v>3205643.74</v>
      </c>
      <c r="H166" s="432"/>
      <c r="I166" s="432">
        <v>3498268.1</v>
      </c>
      <c r="J166" s="432"/>
      <c r="K166" s="432">
        <v>3764227.07</v>
      </c>
      <c r="L166" s="432"/>
      <c r="M166" s="432">
        <f t="shared" si="3"/>
        <v>239665.45000000019</v>
      </c>
      <c r="N166" s="432"/>
      <c r="O166" s="432">
        <v>4003892.52</v>
      </c>
      <c r="P166" s="681"/>
      <c r="Q166" s="1190"/>
    </row>
    <row r="167" spans="2:17" s="768" customFormat="1" ht="15.75">
      <c r="B167" s="774">
        <v>22090</v>
      </c>
      <c r="C167" s="781"/>
      <c r="D167" s="775" t="s">
        <v>1214</v>
      </c>
      <c r="E167" s="782"/>
      <c r="F167" s="782"/>
      <c r="G167" s="432">
        <v>0</v>
      </c>
      <c r="H167" s="432"/>
      <c r="I167" s="432">
        <v>0</v>
      </c>
      <c r="J167" s="432"/>
      <c r="K167" s="432">
        <v>0</v>
      </c>
      <c r="L167" s="432"/>
      <c r="M167" s="432">
        <f t="shared" si="3"/>
        <v>0</v>
      </c>
      <c r="N167" s="432"/>
      <c r="O167" s="432">
        <v>0</v>
      </c>
      <c r="P167" s="777" t="s">
        <v>1508</v>
      </c>
      <c r="Q167" s="1190"/>
    </row>
    <row r="168" spans="2:17" s="768" customFormat="1" ht="15.75">
      <c r="B168" s="774">
        <v>22099</v>
      </c>
      <c r="C168" s="781"/>
      <c r="D168" s="775" t="s">
        <v>1215</v>
      </c>
      <c r="E168" s="782"/>
      <c r="F168" s="782"/>
      <c r="G168" s="432">
        <v>335531.49</v>
      </c>
      <c r="H168" s="432"/>
      <c r="I168" s="432">
        <v>336939.62</v>
      </c>
      <c r="J168" s="432"/>
      <c r="K168" s="432">
        <v>360752.97</v>
      </c>
      <c r="L168" s="432"/>
      <c r="M168" s="432">
        <f t="shared" si="3"/>
        <v>60017.560000000056</v>
      </c>
      <c r="N168" s="432"/>
      <c r="O168" s="432">
        <v>420770.53</v>
      </c>
      <c r="P168" s="681"/>
      <c r="Q168" s="1190"/>
    </row>
    <row r="169" spans="2:17" s="768" customFormat="1" ht="15.75">
      <c r="B169" s="774">
        <v>22100</v>
      </c>
      <c r="C169" s="781"/>
      <c r="D169" s="775" t="s">
        <v>1216</v>
      </c>
      <c r="E169" s="782"/>
      <c r="F169" s="782"/>
      <c r="G169" s="432">
        <v>14761581.060000001</v>
      </c>
      <c r="H169" s="432"/>
      <c r="I169" s="432">
        <v>14769172.109999999</v>
      </c>
      <c r="J169" s="432"/>
      <c r="K169" s="432">
        <v>14310887.83</v>
      </c>
      <c r="L169" s="432"/>
      <c r="M169" s="432">
        <f t="shared" si="3"/>
        <v>82375.959999999031</v>
      </c>
      <c r="N169" s="432"/>
      <c r="O169" s="432">
        <v>14393263.789999999</v>
      </c>
      <c r="P169" s="681"/>
      <c r="Q169" s="1190"/>
    </row>
    <row r="170" spans="2:17" s="768" customFormat="1" ht="15.75">
      <c r="B170" s="774">
        <v>22130</v>
      </c>
      <c r="C170" s="781"/>
      <c r="D170" s="780" t="s">
        <v>1217</v>
      </c>
      <c r="E170" s="782"/>
      <c r="F170" s="782"/>
      <c r="G170" s="432">
        <v>0</v>
      </c>
      <c r="H170" s="432"/>
      <c r="I170" s="432">
        <v>0</v>
      </c>
      <c r="J170" s="432"/>
      <c r="K170" s="432">
        <v>0</v>
      </c>
      <c r="L170" s="432"/>
      <c r="M170" s="432">
        <f t="shared" si="3"/>
        <v>0</v>
      </c>
      <c r="N170" s="432"/>
      <c r="O170" s="432">
        <v>0</v>
      </c>
      <c r="P170" s="777" t="s">
        <v>1508</v>
      </c>
      <c r="Q170" s="1190"/>
    </row>
    <row r="171" spans="2:17" s="768" customFormat="1" ht="15.75">
      <c r="B171" s="774">
        <v>22134</v>
      </c>
      <c r="C171" s="781"/>
      <c r="D171" s="780" t="s">
        <v>1218</v>
      </c>
      <c r="E171" s="782"/>
      <c r="F171" s="782"/>
      <c r="G171" s="432">
        <v>0</v>
      </c>
      <c r="H171" s="432"/>
      <c r="I171" s="432">
        <v>0</v>
      </c>
      <c r="J171" s="432"/>
      <c r="K171" s="432">
        <v>0</v>
      </c>
      <c r="L171" s="432"/>
      <c r="M171" s="432">
        <f t="shared" si="3"/>
        <v>0</v>
      </c>
      <c r="N171" s="432"/>
      <c r="O171" s="432">
        <v>0</v>
      </c>
      <c r="P171" s="681"/>
      <c r="Q171" s="1190"/>
    </row>
    <row r="172" spans="2:17" s="768" customFormat="1" ht="15.75">
      <c r="B172" s="774">
        <v>22135</v>
      </c>
      <c r="C172" s="781"/>
      <c r="D172" s="780" t="s">
        <v>1219</v>
      </c>
      <c r="E172" s="782"/>
      <c r="F172" s="782"/>
      <c r="G172" s="432">
        <v>0</v>
      </c>
      <c r="H172" s="432"/>
      <c r="I172" s="432">
        <v>0</v>
      </c>
      <c r="J172" s="432"/>
      <c r="K172" s="432">
        <v>0</v>
      </c>
      <c r="L172" s="432"/>
      <c r="M172" s="432">
        <f t="shared" si="3"/>
        <v>0</v>
      </c>
      <c r="N172" s="432"/>
      <c r="O172" s="432">
        <v>0</v>
      </c>
      <c r="P172" s="777" t="s">
        <v>1508</v>
      </c>
      <c r="Q172" s="1190"/>
    </row>
    <row r="173" spans="2:17" s="768" customFormat="1" ht="15.75">
      <c r="B173" s="774">
        <v>22144</v>
      </c>
      <c r="C173" s="781"/>
      <c r="D173" s="775" t="s">
        <v>1220</v>
      </c>
      <c r="E173" s="782"/>
      <c r="F173" s="782"/>
      <c r="G173" s="432">
        <v>0</v>
      </c>
      <c r="H173" s="432"/>
      <c r="I173" s="432">
        <v>0</v>
      </c>
      <c r="J173" s="432"/>
      <c r="K173" s="432">
        <v>0</v>
      </c>
      <c r="L173" s="432"/>
      <c r="M173" s="432">
        <f t="shared" si="3"/>
        <v>0</v>
      </c>
      <c r="N173" s="432"/>
      <c r="O173" s="432">
        <v>0</v>
      </c>
      <c r="P173" s="681"/>
      <c r="Q173" s="1190"/>
    </row>
    <row r="174" spans="2:17" s="768" customFormat="1" ht="15.75">
      <c r="B174" s="774">
        <v>22151</v>
      </c>
      <c r="C174" s="781"/>
      <c r="D174" s="780" t="s">
        <v>1221</v>
      </c>
      <c r="E174" s="782"/>
      <c r="F174" s="782"/>
      <c r="G174" s="432">
        <v>135913.41</v>
      </c>
      <c r="H174" s="432"/>
      <c r="I174" s="432">
        <v>173471.81</v>
      </c>
      <c r="J174" s="432"/>
      <c r="K174" s="432">
        <v>26695.599999999999</v>
      </c>
      <c r="L174" s="432"/>
      <c r="M174" s="432">
        <f t="shared" ref="M174:M198" si="7">O174-K174</f>
        <v>119939.41999999998</v>
      </c>
      <c r="N174" s="432"/>
      <c r="O174" s="432">
        <v>146635.01999999999</v>
      </c>
      <c r="P174" s="681"/>
      <c r="Q174" s="1190"/>
    </row>
    <row r="175" spans="2:17" s="768" customFormat="1" ht="15.75">
      <c r="B175" s="774">
        <v>22156</v>
      </c>
      <c r="C175" s="781"/>
      <c r="D175" s="780" t="s">
        <v>1222</v>
      </c>
      <c r="E175" s="782"/>
      <c r="F175" s="782"/>
      <c r="G175" s="432">
        <v>0</v>
      </c>
      <c r="H175" s="432"/>
      <c r="I175" s="432">
        <v>0</v>
      </c>
      <c r="J175" s="432"/>
      <c r="K175" s="432">
        <v>0</v>
      </c>
      <c r="L175" s="432"/>
      <c r="M175" s="432">
        <f t="shared" si="7"/>
        <v>0</v>
      </c>
      <c r="N175" s="432"/>
      <c r="O175" s="432">
        <v>0</v>
      </c>
      <c r="P175" s="777" t="s">
        <v>1508</v>
      </c>
      <c r="Q175" s="1190"/>
    </row>
    <row r="176" spans="2:17" s="768" customFormat="1" ht="15.75">
      <c r="B176" s="774">
        <v>22158</v>
      </c>
      <c r="C176" s="781"/>
      <c r="D176" s="775" t="s">
        <v>1223</v>
      </c>
      <c r="E176" s="782"/>
      <c r="F176" s="782"/>
      <c r="G176" s="432">
        <v>0</v>
      </c>
      <c r="H176" s="432"/>
      <c r="I176" s="432">
        <v>0</v>
      </c>
      <c r="J176" s="432"/>
      <c r="K176" s="432">
        <v>0</v>
      </c>
      <c r="L176" s="432"/>
      <c r="M176" s="432">
        <f t="shared" si="7"/>
        <v>0</v>
      </c>
      <c r="N176" s="432"/>
      <c r="O176" s="432">
        <v>0</v>
      </c>
      <c r="P176" s="777" t="s">
        <v>1508</v>
      </c>
      <c r="Q176" s="1190"/>
    </row>
    <row r="177" spans="2:17" s="768" customFormat="1" ht="15.75">
      <c r="B177" s="774">
        <v>22165</v>
      </c>
      <c r="C177" s="781"/>
      <c r="D177" s="775" t="s">
        <v>1224</v>
      </c>
      <c r="E177" s="782"/>
      <c r="F177" s="782"/>
      <c r="G177" s="432">
        <v>0</v>
      </c>
      <c r="H177" s="432"/>
      <c r="I177" s="432">
        <v>0</v>
      </c>
      <c r="J177" s="432"/>
      <c r="K177" s="432">
        <v>0</v>
      </c>
      <c r="L177" s="432"/>
      <c r="M177" s="432">
        <f t="shared" si="7"/>
        <v>0</v>
      </c>
      <c r="N177" s="432"/>
      <c r="O177" s="432">
        <v>0</v>
      </c>
      <c r="P177" s="681"/>
      <c r="Q177" s="1190"/>
    </row>
    <row r="178" spans="2:17" s="768" customFormat="1" ht="15.75">
      <c r="B178" s="774">
        <v>22168</v>
      </c>
      <c r="C178" s="781"/>
      <c r="D178" s="775" t="s">
        <v>1225</v>
      </c>
      <c r="E178" s="782"/>
      <c r="F178" s="782"/>
      <c r="G178" s="432">
        <v>0</v>
      </c>
      <c r="H178" s="432"/>
      <c r="I178" s="432">
        <v>0</v>
      </c>
      <c r="J178" s="432"/>
      <c r="K178" s="432">
        <v>0</v>
      </c>
      <c r="L178" s="432"/>
      <c r="M178" s="432">
        <f t="shared" si="7"/>
        <v>0</v>
      </c>
      <c r="N178" s="432"/>
      <c r="O178" s="432">
        <v>0</v>
      </c>
      <c r="P178" s="777" t="s">
        <v>1508</v>
      </c>
      <c r="Q178" s="1190"/>
    </row>
    <row r="179" spans="2:17" s="768" customFormat="1" ht="15.75">
      <c r="B179" s="774">
        <v>22211</v>
      </c>
      <c r="C179" s="781"/>
      <c r="D179" s="775" t="s">
        <v>1226</v>
      </c>
      <c r="E179" s="782"/>
      <c r="F179" s="782"/>
      <c r="G179" s="432">
        <v>0</v>
      </c>
      <c r="H179" s="432"/>
      <c r="I179" s="432">
        <v>9707676.3900000006</v>
      </c>
      <c r="J179" s="432"/>
      <c r="K179" s="432">
        <v>17841920.02</v>
      </c>
      <c r="L179" s="432"/>
      <c r="M179" s="432">
        <f t="shared" si="7"/>
        <v>4705648.0300000012</v>
      </c>
      <c r="N179" s="432"/>
      <c r="O179" s="432">
        <v>22547568.050000001</v>
      </c>
      <c r="P179" s="681"/>
      <c r="Q179" s="1190"/>
    </row>
    <row r="180" spans="2:17" s="768" customFormat="1" ht="15.75">
      <c r="B180" s="774">
        <v>22240</v>
      </c>
      <c r="C180" s="781"/>
      <c r="D180" s="775" t="s">
        <v>1227</v>
      </c>
      <c r="E180" s="782"/>
      <c r="F180" s="782"/>
      <c r="G180" s="432">
        <v>3484537.09</v>
      </c>
      <c r="H180" s="432"/>
      <c r="I180" s="432">
        <v>3547343.64</v>
      </c>
      <c r="J180" s="432"/>
      <c r="K180" s="432">
        <v>3600424.45</v>
      </c>
      <c r="L180" s="432"/>
      <c r="M180" s="432">
        <f t="shared" si="7"/>
        <v>160197.30999999959</v>
      </c>
      <c r="N180" s="432"/>
      <c r="O180" s="432">
        <v>3760621.76</v>
      </c>
      <c r="P180" s="681"/>
      <c r="Q180" s="1190"/>
    </row>
    <row r="181" spans="2:17" s="768" customFormat="1" ht="15.75">
      <c r="B181" s="774">
        <v>22246</v>
      </c>
      <c r="C181" s="781"/>
      <c r="D181" s="775" t="s">
        <v>1228</v>
      </c>
      <c r="E181" s="782"/>
      <c r="F181" s="782"/>
      <c r="G181" s="432">
        <v>0</v>
      </c>
      <c r="H181" s="432"/>
      <c r="I181" s="432">
        <v>0</v>
      </c>
      <c r="J181" s="432"/>
      <c r="K181" s="432">
        <v>0</v>
      </c>
      <c r="L181" s="432"/>
      <c r="M181" s="432">
        <f t="shared" si="7"/>
        <v>0</v>
      </c>
      <c r="N181" s="432"/>
      <c r="O181" s="432">
        <v>0</v>
      </c>
      <c r="P181" s="681"/>
      <c r="Q181" s="1190"/>
    </row>
    <row r="182" spans="2:17" s="768" customFormat="1" ht="15.75">
      <c r="B182" s="774">
        <v>22255</v>
      </c>
      <c r="C182" s="781"/>
      <c r="D182" s="775" t="s">
        <v>1229</v>
      </c>
      <c r="E182" s="782"/>
      <c r="F182" s="782"/>
      <c r="G182" s="432">
        <v>0</v>
      </c>
      <c r="H182" s="432"/>
      <c r="I182" s="432">
        <v>0</v>
      </c>
      <c r="J182" s="432"/>
      <c r="K182" s="432">
        <v>0</v>
      </c>
      <c r="L182" s="432"/>
      <c r="M182" s="432">
        <f t="shared" si="7"/>
        <v>0</v>
      </c>
      <c r="N182" s="432"/>
      <c r="O182" s="432">
        <v>0</v>
      </c>
      <c r="P182" s="681"/>
      <c r="Q182" s="1190"/>
    </row>
    <row r="183" spans="2:17" s="768" customFormat="1" ht="15.75">
      <c r="B183" s="774">
        <v>22262</v>
      </c>
      <c r="C183" s="781"/>
      <c r="D183" s="775" t="s">
        <v>1395</v>
      </c>
      <c r="E183" s="782"/>
      <c r="F183" s="782"/>
      <c r="G183" s="432">
        <v>0</v>
      </c>
      <c r="H183" s="432"/>
      <c r="I183" s="432">
        <v>0</v>
      </c>
      <c r="J183" s="432"/>
      <c r="K183" s="432">
        <v>0</v>
      </c>
      <c r="L183" s="432"/>
      <c r="M183" s="432">
        <f t="shared" si="7"/>
        <v>0</v>
      </c>
      <c r="N183" s="432"/>
      <c r="O183" s="432">
        <v>0</v>
      </c>
      <c r="P183" s="1275"/>
      <c r="Q183" s="1190"/>
    </row>
    <row r="184" spans="2:17" s="768" customFormat="1" ht="15.75">
      <c r="B184" s="774">
        <v>22269</v>
      </c>
      <c r="C184" s="781"/>
      <c r="D184" s="775" t="s">
        <v>1475</v>
      </c>
      <c r="E184" s="782"/>
      <c r="F184" s="782"/>
      <c r="G184" s="432">
        <v>0</v>
      </c>
      <c r="H184" s="432"/>
      <c r="I184" s="432">
        <v>0</v>
      </c>
      <c r="J184" s="432"/>
      <c r="K184" s="432">
        <v>0</v>
      </c>
      <c r="L184" s="432"/>
      <c r="M184" s="432">
        <f t="shared" ref="M184:M185" si="8">O184-K184</f>
        <v>0</v>
      </c>
      <c r="N184" s="432"/>
      <c r="O184" s="432">
        <v>0</v>
      </c>
      <c r="P184" s="1275"/>
      <c r="Q184" s="1190"/>
    </row>
    <row r="185" spans="2:17" s="768" customFormat="1" ht="15.75">
      <c r="B185" s="774">
        <v>22270</v>
      </c>
      <c r="C185" s="781"/>
      <c r="D185" s="775" t="s">
        <v>1514</v>
      </c>
      <c r="E185" s="782"/>
      <c r="F185" s="782"/>
      <c r="G185" s="432">
        <v>0</v>
      </c>
      <c r="H185" s="432"/>
      <c r="I185" s="432">
        <v>0</v>
      </c>
      <c r="J185" s="432"/>
      <c r="K185" s="432">
        <v>0</v>
      </c>
      <c r="L185" s="432"/>
      <c r="M185" s="432">
        <f t="shared" si="8"/>
        <v>0</v>
      </c>
      <c r="N185" s="432"/>
      <c r="O185" s="432">
        <v>0</v>
      </c>
      <c r="P185" s="1275"/>
      <c r="Q185" s="1190"/>
    </row>
    <row r="186" spans="2:17" s="768" customFormat="1" ht="15.75">
      <c r="B186" s="774">
        <v>22654</v>
      </c>
      <c r="C186" s="781"/>
      <c r="D186" s="780" t="s">
        <v>1230</v>
      </c>
      <c r="E186" s="782"/>
      <c r="F186" s="782"/>
      <c r="G186" s="432">
        <v>24447776.600000001</v>
      </c>
      <c r="H186" s="432"/>
      <c r="I186" s="432">
        <v>24526384.609999999</v>
      </c>
      <c r="J186" s="432"/>
      <c r="K186" s="432">
        <v>24601832.399999999</v>
      </c>
      <c r="L186" s="432"/>
      <c r="M186" s="432">
        <f t="shared" si="7"/>
        <v>78202.860000003129</v>
      </c>
      <c r="N186" s="432"/>
      <c r="O186" s="432">
        <v>24680035.260000002</v>
      </c>
      <c r="P186" s="681"/>
      <c r="Q186" s="1190"/>
    </row>
    <row r="187" spans="2:17" s="768" customFormat="1" ht="15.75">
      <c r="B187" s="774">
        <v>22751</v>
      </c>
      <c r="C187" s="781"/>
      <c r="D187" s="780" t="s">
        <v>1231</v>
      </c>
      <c r="E187" s="782"/>
      <c r="F187" s="782"/>
      <c r="G187" s="432">
        <v>0</v>
      </c>
      <c r="H187" s="432"/>
      <c r="I187" s="432">
        <v>0</v>
      </c>
      <c r="J187" s="432"/>
      <c r="K187" s="432">
        <v>0</v>
      </c>
      <c r="L187" s="432"/>
      <c r="M187" s="432">
        <f t="shared" si="7"/>
        <v>0</v>
      </c>
      <c r="N187" s="432"/>
      <c r="O187" s="432">
        <v>0</v>
      </c>
      <c r="P187" s="777" t="s">
        <v>1508</v>
      </c>
      <c r="Q187" s="1190"/>
    </row>
    <row r="188" spans="2:17" s="768" customFormat="1" ht="15.75">
      <c r="B188" s="774">
        <v>23001</v>
      </c>
      <c r="C188" s="781"/>
      <c r="D188" s="780" t="s">
        <v>1232</v>
      </c>
      <c r="E188" s="782"/>
      <c r="F188" s="782"/>
      <c r="G188" s="432">
        <v>26403549.530000001</v>
      </c>
      <c r="H188" s="432"/>
      <c r="I188" s="432">
        <v>26708586.899999999</v>
      </c>
      <c r="J188" s="432"/>
      <c r="K188" s="432">
        <v>26893044.030000001</v>
      </c>
      <c r="L188" s="432"/>
      <c r="M188" s="432">
        <f t="shared" si="7"/>
        <v>295149.53999999911</v>
      </c>
      <c r="N188" s="432"/>
      <c r="O188" s="432">
        <v>27188193.57</v>
      </c>
      <c r="P188" s="681"/>
      <c r="Q188" s="1190"/>
    </row>
    <row r="189" spans="2:17" s="768" customFormat="1" ht="15.75">
      <c r="B189" s="774">
        <v>23102</v>
      </c>
      <c r="C189" s="781"/>
      <c r="D189" s="775" t="s">
        <v>1233</v>
      </c>
      <c r="E189" s="782"/>
      <c r="F189" s="782"/>
      <c r="G189" s="432">
        <v>0</v>
      </c>
      <c r="H189" s="432"/>
      <c r="I189" s="432">
        <v>0</v>
      </c>
      <c r="J189" s="432"/>
      <c r="K189" s="432">
        <v>0</v>
      </c>
      <c r="L189" s="432"/>
      <c r="M189" s="432">
        <f t="shared" si="7"/>
        <v>0</v>
      </c>
      <c r="N189" s="432"/>
      <c r="O189" s="432">
        <v>0</v>
      </c>
      <c r="P189" s="777" t="s">
        <v>1508</v>
      </c>
      <c r="Q189" s="1190"/>
    </row>
    <row r="190" spans="2:17" s="768" customFormat="1" ht="15.75">
      <c r="B190" s="774">
        <v>23151</v>
      </c>
      <c r="C190" s="781"/>
      <c r="D190" s="780" t="s">
        <v>1234</v>
      </c>
      <c r="E190" s="782"/>
      <c r="F190" s="782"/>
      <c r="G190" s="432">
        <v>35481030.579999998</v>
      </c>
      <c r="H190" s="432"/>
      <c r="I190" s="432">
        <v>35828698.579999998</v>
      </c>
      <c r="J190" s="432"/>
      <c r="K190" s="432">
        <v>39808670.979999997</v>
      </c>
      <c r="L190" s="432"/>
      <c r="M190" s="432">
        <f t="shared" si="7"/>
        <v>6607954.1100000069</v>
      </c>
      <c r="N190" s="432"/>
      <c r="O190" s="432">
        <v>46416625.090000004</v>
      </c>
      <c r="P190" s="681"/>
      <c r="Q190" s="1190"/>
    </row>
    <row r="191" spans="2:17" s="768" customFormat="1" ht="15.75">
      <c r="B191" s="774">
        <v>23701</v>
      </c>
      <c r="C191" s="781"/>
      <c r="D191" s="780" t="s">
        <v>1235</v>
      </c>
      <c r="E191" s="782"/>
      <c r="F191" s="782"/>
      <c r="G191" s="432">
        <v>0</v>
      </c>
      <c r="H191" s="432"/>
      <c r="I191" s="432">
        <v>0</v>
      </c>
      <c r="J191" s="432"/>
      <c r="K191" s="432">
        <v>0</v>
      </c>
      <c r="L191" s="432"/>
      <c r="M191" s="432">
        <f t="shared" si="7"/>
        <v>0</v>
      </c>
      <c r="N191" s="432"/>
      <c r="O191" s="432">
        <v>0</v>
      </c>
      <c r="P191" s="681"/>
      <c r="Q191" s="1190"/>
    </row>
    <row r="192" spans="2:17" s="768" customFormat="1" ht="15.75">
      <c r="B192" s="791">
        <v>23702</v>
      </c>
      <c r="C192" s="781"/>
      <c r="D192" s="775" t="s">
        <v>1236</v>
      </c>
      <c r="E192" s="782"/>
      <c r="F192" s="782"/>
      <c r="G192" s="432">
        <v>16933261.239999998</v>
      </c>
      <c r="H192" s="432"/>
      <c r="I192" s="432">
        <v>17113758.16</v>
      </c>
      <c r="J192" s="432"/>
      <c r="K192" s="432">
        <v>17545333.129999999</v>
      </c>
      <c r="L192" s="432"/>
      <c r="M192" s="432">
        <f t="shared" si="7"/>
        <v>1558459.5600000024</v>
      </c>
      <c r="N192" s="432"/>
      <c r="O192" s="432">
        <v>19103792.690000001</v>
      </c>
      <c r="P192" s="681"/>
      <c r="Q192" s="1190"/>
    </row>
    <row r="193" spans="2:17" s="768" customFormat="1" ht="15.75">
      <c r="B193" s="791">
        <v>23801</v>
      </c>
      <c r="C193" s="781"/>
      <c r="D193" s="775" t="s">
        <v>1237</v>
      </c>
      <c r="E193" s="782"/>
      <c r="F193" s="782"/>
      <c r="G193" s="432">
        <v>0</v>
      </c>
      <c r="H193" s="432"/>
      <c r="I193" s="432">
        <v>0</v>
      </c>
      <c r="J193" s="432"/>
      <c r="K193" s="432">
        <v>0</v>
      </c>
      <c r="L193" s="432"/>
      <c r="M193" s="432">
        <f t="shared" si="7"/>
        <v>0</v>
      </c>
      <c r="N193" s="432"/>
      <c r="O193" s="432">
        <v>0</v>
      </c>
      <c r="P193" s="777" t="s">
        <v>1508</v>
      </c>
      <c r="Q193" s="1190"/>
    </row>
    <row r="194" spans="2:17" s="768" customFormat="1" ht="15.75">
      <c r="B194" s="791">
        <v>23806</v>
      </c>
      <c r="C194" s="781"/>
      <c r="D194" s="775" t="s">
        <v>1238</v>
      </c>
      <c r="E194" s="782"/>
      <c r="F194" s="782"/>
      <c r="G194" s="432">
        <v>3232793.22</v>
      </c>
      <c r="H194" s="432"/>
      <c r="I194" s="432">
        <v>3275777.91</v>
      </c>
      <c r="J194" s="432"/>
      <c r="K194" s="432">
        <v>3310765.17</v>
      </c>
      <c r="L194" s="432"/>
      <c r="M194" s="432">
        <f t="shared" si="7"/>
        <v>117869.35000000009</v>
      </c>
      <c r="N194" s="432"/>
      <c r="O194" s="432">
        <v>3428634.52</v>
      </c>
      <c r="P194" s="777"/>
      <c r="Q194" s="1190"/>
    </row>
    <row r="195" spans="2:17" s="768" customFormat="1" ht="15.75">
      <c r="B195" s="791">
        <v>24800</v>
      </c>
      <c r="C195" s="781"/>
      <c r="D195" s="775" t="s">
        <v>1239</v>
      </c>
      <c r="E195" s="782"/>
      <c r="F195" s="782"/>
      <c r="G195" s="432">
        <v>0</v>
      </c>
      <c r="H195" s="432"/>
      <c r="I195" s="432">
        <v>0</v>
      </c>
      <c r="J195" s="432"/>
      <c r="K195" s="432">
        <v>0</v>
      </c>
      <c r="L195" s="432"/>
      <c r="M195" s="432">
        <f t="shared" si="7"/>
        <v>0</v>
      </c>
      <c r="N195" s="432"/>
      <c r="O195" s="432">
        <v>0</v>
      </c>
      <c r="P195" s="777"/>
      <c r="Q195" s="1190"/>
    </row>
    <row r="196" spans="2:17" s="768" customFormat="1" ht="15.75">
      <c r="B196" s="791">
        <v>24801</v>
      </c>
      <c r="C196" s="781"/>
      <c r="D196" s="775" t="s">
        <v>1476</v>
      </c>
      <c r="E196" s="782"/>
      <c r="F196" s="782"/>
      <c r="G196" s="432">
        <v>0</v>
      </c>
      <c r="H196" s="432"/>
      <c r="I196" s="432">
        <v>0</v>
      </c>
      <c r="J196" s="432"/>
      <c r="K196" s="432">
        <v>0</v>
      </c>
      <c r="L196" s="432"/>
      <c r="M196" s="432">
        <f t="shared" ref="M196" si="9">O196-K196</f>
        <v>0</v>
      </c>
      <c r="N196" s="432"/>
      <c r="O196" s="432">
        <v>0</v>
      </c>
      <c r="P196" s="777" t="s">
        <v>1508</v>
      </c>
      <c r="Q196" s="1190"/>
    </row>
    <row r="197" spans="2:17" s="768" customFormat="1" ht="15.75">
      <c r="B197" s="791">
        <v>24951</v>
      </c>
      <c r="C197" s="781"/>
      <c r="D197" s="775" t="s">
        <v>1240</v>
      </c>
      <c r="E197" s="782"/>
      <c r="F197" s="782"/>
      <c r="G197" s="432">
        <v>31058.6</v>
      </c>
      <c r="H197" s="432"/>
      <c r="I197" s="432">
        <v>31058.6</v>
      </c>
      <c r="J197" s="432"/>
      <c r="K197" s="432">
        <v>48708.14</v>
      </c>
      <c r="L197" s="432"/>
      <c r="M197" s="432">
        <f t="shared" si="7"/>
        <v>79345.64</v>
      </c>
      <c r="N197" s="432"/>
      <c r="O197" s="432">
        <v>128053.78</v>
      </c>
      <c r="P197" s="777"/>
      <c r="Q197" s="1190"/>
    </row>
    <row r="198" spans="2:17" s="768" customFormat="1" ht="15.75">
      <c r="B198" s="791">
        <v>24955</v>
      </c>
      <c r="C198" s="781"/>
      <c r="D198" s="775" t="s">
        <v>1241</v>
      </c>
      <c r="E198" s="782"/>
      <c r="F198" s="782"/>
      <c r="G198" s="432">
        <v>0</v>
      </c>
      <c r="H198" s="432"/>
      <c r="I198" s="432">
        <v>0</v>
      </c>
      <c r="J198" s="432"/>
      <c r="K198" s="432">
        <v>0</v>
      </c>
      <c r="L198" s="432"/>
      <c r="M198" s="432">
        <f t="shared" si="7"/>
        <v>0</v>
      </c>
      <c r="N198" s="432"/>
      <c r="O198" s="432">
        <v>0</v>
      </c>
      <c r="P198" s="777"/>
      <c r="Q198" s="1190"/>
    </row>
    <row r="199" spans="2:17" s="768" customFormat="1" ht="16.5" thickBot="1">
      <c r="B199" s="783"/>
      <c r="C199" s="770"/>
      <c r="D199" s="778" t="s">
        <v>1242</v>
      </c>
      <c r="E199" s="772"/>
      <c r="F199" s="772"/>
      <c r="G199" s="1658">
        <f>SUM(G107:G198)</f>
        <v>579354021.08000016</v>
      </c>
      <c r="H199" s="1659"/>
      <c r="I199" s="1658">
        <f>SUM(I107:I198)</f>
        <v>604896756.0999999</v>
      </c>
      <c r="J199" s="1659"/>
      <c r="K199" s="1658">
        <f>SUM(K107:K198)</f>
        <v>691727437.59000015</v>
      </c>
      <c r="L199"/>
      <c r="M199" s="1658">
        <f>SUM(M107:M198)</f>
        <v>-50300377.68999999</v>
      </c>
      <c r="N199"/>
      <c r="O199" s="1658">
        <f>SUM(O107:O198)</f>
        <v>641427059.89999998</v>
      </c>
      <c r="P199" s="777"/>
      <c r="Q199" s="1190"/>
    </row>
    <row r="200" spans="2:17" s="768" customFormat="1" ht="16.5" thickTop="1">
      <c r="B200" s="785"/>
      <c r="C200" s="773"/>
      <c r="D200" s="792"/>
      <c r="E200" s="781"/>
      <c r="F200" s="781"/>
      <c r="G200" s="681"/>
      <c r="H200" s="1661"/>
      <c r="I200" s="681"/>
      <c r="J200" s="1661"/>
      <c r="K200" s="681"/>
      <c r="L200" s="1661"/>
      <c r="M200" s="432"/>
      <c r="N200" s="1661"/>
      <c r="O200" s="681"/>
      <c r="P200" s="777"/>
      <c r="Q200" s="1190"/>
    </row>
    <row r="201" spans="2:17" s="768" customFormat="1" ht="15.75">
      <c r="B201" s="785"/>
      <c r="C201" s="770"/>
      <c r="D201" s="778" t="s">
        <v>1243</v>
      </c>
      <c r="E201" s="772"/>
      <c r="F201" s="772"/>
      <c r="G201" s="681"/>
      <c r="H201" s="1661"/>
      <c r="I201" s="681"/>
      <c r="J201" s="1661"/>
      <c r="K201" s="777"/>
      <c r="L201" s="1661"/>
      <c r="M201" s="1662"/>
      <c r="N201" s="1659"/>
      <c r="O201" s="681"/>
      <c r="P201" s="777"/>
      <c r="Q201" s="1190"/>
    </row>
    <row r="202" spans="2:17" s="768" customFormat="1" ht="15.75">
      <c r="B202" s="793" t="s">
        <v>1244</v>
      </c>
      <c r="C202" s="952"/>
      <c r="D202" s="780" t="s">
        <v>1245</v>
      </c>
      <c r="E202" s="843"/>
      <c r="F202" s="843"/>
      <c r="G202" s="681">
        <v>24850671.270000003</v>
      </c>
      <c r="H202" s="432"/>
      <c r="I202" s="681">
        <v>105800845.17000002</v>
      </c>
      <c r="J202" s="432"/>
      <c r="K202" s="681">
        <v>43345554.960000001</v>
      </c>
      <c r="L202" s="332"/>
      <c r="M202" s="432">
        <f t="shared" ref="M202:M210" si="10">O202-K202</f>
        <v>33818798.710000001</v>
      </c>
      <c r="N202" s="432"/>
      <c r="O202" s="681">
        <v>77164353.670000002</v>
      </c>
      <c r="P202" s="777"/>
      <c r="Q202" s="1190" t="s">
        <v>103</v>
      </c>
    </row>
    <row r="203" spans="2:17" s="768" customFormat="1" ht="15.75">
      <c r="B203" s="793" t="s">
        <v>1246</v>
      </c>
      <c r="C203" s="952"/>
      <c r="D203" s="780" t="s">
        <v>1247</v>
      </c>
      <c r="E203" s="843"/>
      <c r="F203" s="843"/>
      <c r="G203" s="681">
        <v>2475486443.0700002</v>
      </c>
      <c r="H203" s="432"/>
      <c r="I203" s="681">
        <v>414443441.40999997</v>
      </c>
      <c r="J203" s="432"/>
      <c r="K203" s="681">
        <v>1231843779.8800001</v>
      </c>
      <c r="L203" s="332"/>
      <c r="M203" s="432">
        <f t="shared" si="10"/>
        <v>1341862954.8999991</v>
      </c>
      <c r="N203" s="432"/>
      <c r="O203" s="681">
        <v>2573706734.7799993</v>
      </c>
      <c r="P203" s="777"/>
      <c r="Q203" s="1190" t="s">
        <v>103</v>
      </c>
    </row>
    <row r="204" spans="2:17" s="768" customFormat="1" ht="15.75">
      <c r="B204" s="793" t="s">
        <v>1248</v>
      </c>
      <c r="C204" s="952"/>
      <c r="D204" s="775" t="s">
        <v>1249</v>
      </c>
      <c r="E204" s="843"/>
      <c r="F204" s="843"/>
      <c r="G204" s="681">
        <v>167529128.17000002</v>
      </c>
      <c r="H204" s="432"/>
      <c r="I204" s="681">
        <v>36289823.07</v>
      </c>
      <c r="J204" s="432"/>
      <c r="K204" s="681">
        <v>40102017.599999994</v>
      </c>
      <c r="L204" s="332"/>
      <c r="M204" s="432">
        <f t="shared" si="10"/>
        <v>115435.15000000596</v>
      </c>
      <c r="N204" s="432"/>
      <c r="O204" s="681">
        <v>40217452.75</v>
      </c>
      <c r="P204" s="777"/>
      <c r="Q204" s="1190"/>
    </row>
    <row r="205" spans="2:17" s="768" customFormat="1" ht="15.75">
      <c r="B205" s="793" t="s">
        <v>1250</v>
      </c>
      <c r="C205" s="775"/>
      <c r="D205" s="780" t="s">
        <v>1251</v>
      </c>
      <c r="E205" s="843"/>
      <c r="F205" s="843"/>
      <c r="G205" s="681">
        <v>296352386.49999988</v>
      </c>
      <c r="H205" s="432"/>
      <c r="I205" s="681">
        <v>289735621.89999992</v>
      </c>
      <c r="J205" s="432"/>
      <c r="K205" s="681">
        <v>365873365.55000007</v>
      </c>
      <c r="L205" s="332"/>
      <c r="M205" s="432">
        <f t="shared" si="10"/>
        <v>-121858756.39000008</v>
      </c>
      <c r="N205" s="432"/>
      <c r="O205" s="681">
        <v>244014609.16</v>
      </c>
      <c r="Q205" s="1190"/>
    </row>
    <row r="206" spans="2:17" s="768" customFormat="1" ht="15.75">
      <c r="B206" s="756">
        <v>31354</v>
      </c>
      <c r="C206" s="844"/>
      <c r="D206" s="775" t="s">
        <v>1252</v>
      </c>
      <c r="E206" s="843"/>
      <c r="F206" s="843"/>
      <c r="G206" s="432">
        <v>245592775.63</v>
      </c>
      <c r="H206" s="432"/>
      <c r="I206" s="432">
        <v>242879703.03</v>
      </c>
      <c r="J206" s="432"/>
      <c r="K206" s="432">
        <v>237497412.28999999</v>
      </c>
      <c r="L206" s="432"/>
      <c r="M206" s="432">
        <f t="shared" si="10"/>
        <v>135561238.79999998</v>
      </c>
      <c r="N206" s="432"/>
      <c r="O206" s="432">
        <v>373058651.08999997</v>
      </c>
      <c r="P206" s="782"/>
      <c r="Q206" s="432"/>
    </row>
    <row r="207" spans="2:17" s="768" customFormat="1" ht="15.75">
      <c r="B207" s="845" t="s">
        <v>1253</v>
      </c>
      <c r="C207" s="781"/>
      <c r="D207" s="780" t="s">
        <v>1254</v>
      </c>
      <c r="E207" s="843"/>
      <c r="F207" s="843"/>
      <c r="G207" s="1954">
        <v>102875495</v>
      </c>
      <c r="H207" s="432"/>
      <c r="I207" s="1954">
        <v>85880951.040000051</v>
      </c>
      <c r="J207" s="432"/>
      <c r="K207" s="1954">
        <v>90184151.910000056</v>
      </c>
      <c r="L207" s="332"/>
      <c r="M207" s="432">
        <f t="shared" si="10"/>
        <v>-6593325.9099999964</v>
      </c>
      <c r="N207" s="432"/>
      <c r="O207" s="1954">
        <v>83590826.00000006</v>
      </c>
      <c r="P207" s="786"/>
      <c r="Q207" s="1190" t="s">
        <v>103</v>
      </c>
    </row>
    <row r="208" spans="2:17" s="768" customFormat="1" ht="15.75">
      <c r="B208" s="791" t="s">
        <v>1255</v>
      </c>
      <c r="C208" s="781"/>
      <c r="D208" s="780" t="s">
        <v>1256</v>
      </c>
      <c r="E208" s="793"/>
      <c r="F208" s="793"/>
      <c r="G208" s="1954">
        <v>8309006.75</v>
      </c>
      <c r="H208" s="432"/>
      <c r="I208" s="1954">
        <v>12491403.27</v>
      </c>
      <c r="J208" s="432"/>
      <c r="K208" s="1954">
        <v>15858797.02</v>
      </c>
      <c r="L208" s="332"/>
      <c r="M208" s="432">
        <f t="shared" si="10"/>
        <v>-3090605.8699999992</v>
      </c>
      <c r="N208" s="432"/>
      <c r="O208" s="1954">
        <v>12768191.15</v>
      </c>
      <c r="P208" s="793"/>
      <c r="Q208" s="1190"/>
    </row>
    <row r="209" spans="2:17" s="768" customFormat="1" ht="15.75">
      <c r="B209" s="774">
        <v>25950</v>
      </c>
      <c r="C209" s="781"/>
      <c r="D209" s="780" t="s">
        <v>1257</v>
      </c>
      <c r="E209" s="794"/>
      <c r="F209" s="794"/>
      <c r="G209" s="432">
        <v>396977.53</v>
      </c>
      <c r="H209" s="432"/>
      <c r="I209" s="432">
        <v>396861.35</v>
      </c>
      <c r="J209" s="432"/>
      <c r="K209" s="432">
        <v>396748.79999999999</v>
      </c>
      <c r="L209" s="432"/>
      <c r="M209" s="432">
        <f t="shared" si="10"/>
        <v>-116.4199999999837</v>
      </c>
      <c r="N209" s="432"/>
      <c r="O209" s="432">
        <v>396632.38</v>
      </c>
      <c r="P209" s="793"/>
      <c r="Q209" s="1190"/>
    </row>
    <row r="210" spans="2:17" s="768" customFormat="1" ht="15.75">
      <c r="B210" s="791" t="s">
        <v>1258</v>
      </c>
      <c r="C210" s="781"/>
      <c r="D210" s="775" t="s">
        <v>1259</v>
      </c>
      <c r="E210" s="793"/>
      <c r="F210" s="793"/>
      <c r="G210" s="681">
        <v>3631506.86</v>
      </c>
      <c r="H210" s="432"/>
      <c r="I210" s="681">
        <v>5466462.8799999999</v>
      </c>
      <c r="J210" s="432"/>
      <c r="K210" s="681">
        <v>9443840.8699999992</v>
      </c>
      <c r="L210" s="332"/>
      <c r="M210" s="432">
        <f t="shared" si="10"/>
        <v>-7472838.5999999996</v>
      </c>
      <c r="N210" s="432"/>
      <c r="O210" s="681">
        <v>1971002.27</v>
      </c>
      <c r="P210" s="793"/>
      <c r="Q210" s="1190"/>
    </row>
    <row r="211" spans="2:17" s="768" customFormat="1" ht="16.5" thickBot="1">
      <c r="B211" s="786"/>
      <c r="C211" s="770"/>
      <c r="D211" s="778" t="s">
        <v>1260</v>
      </c>
      <c r="E211" s="779"/>
      <c r="F211" s="779"/>
      <c r="G211" s="1658">
        <f>SUM(G202:G210)</f>
        <v>3325024390.7800007</v>
      </c>
      <c r="H211" s="1659"/>
      <c r="I211" s="1658">
        <f>SUM(I202:I210)</f>
        <v>1193385113.1199999</v>
      </c>
      <c r="J211" s="1659"/>
      <c r="K211" s="1658">
        <f>SUM(K202:K210)</f>
        <v>2034545668.8800001</v>
      </c>
      <c r="L211"/>
      <c r="M211" s="1658">
        <f>SUM(M202:M210)</f>
        <v>1372342784.3699992</v>
      </c>
      <c r="N211"/>
      <c r="O211" s="1658">
        <f>SUM(O202:O210)</f>
        <v>3406888453.2499995</v>
      </c>
      <c r="P211" s="782" t="s">
        <v>266</v>
      </c>
      <c r="Q211" s="1190"/>
    </row>
    <row r="212" spans="2:17" s="768" customFormat="1" ht="16.5" thickTop="1">
      <c r="B212" s="783"/>
      <c r="C212" s="770"/>
      <c r="D212" s="782"/>
      <c r="E212" s="779"/>
      <c r="F212" s="779"/>
      <c r="G212" s="795"/>
      <c r="H212" s="1659"/>
      <c r="I212" s="795"/>
      <c r="J212" s="1659"/>
      <c r="K212" s="795"/>
      <c r="L212" s="1659"/>
      <c r="M212" s="1662"/>
      <c r="N212" s="1659"/>
      <c r="O212" s="795"/>
      <c r="P212" s="845"/>
      <c r="Q212" s="1190"/>
    </row>
    <row r="213" spans="2:17" s="768" customFormat="1" ht="15.75">
      <c r="B213" s="785"/>
      <c r="C213" s="770"/>
      <c r="D213" s="771" t="s">
        <v>1261</v>
      </c>
      <c r="E213" s="779"/>
      <c r="F213" s="779"/>
      <c r="G213" s="681"/>
      <c r="H213" s="1661"/>
      <c r="I213" s="681"/>
      <c r="J213" s="1661"/>
      <c r="K213" s="681"/>
      <c r="L213" s="1661"/>
      <c r="M213" s="1662"/>
      <c r="N213" s="1659"/>
      <c r="O213" s="681"/>
      <c r="P213" s="791"/>
      <c r="Q213" s="1190"/>
    </row>
    <row r="214" spans="2:17" s="768" customFormat="1" ht="15.75">
      <c r="B214" s="774">
        <v>60201</v>
      </c>
      <c r="C214" s="770"/>
      <c r="D214" s="780" t="s">
        <v>1262</v>
      </c>
      <c r="E214" s="779"/>
      <c r="F214" s="779"/>
      <c r="G214" s="432">
        <v>0</v>
      </c>
      <c r="H214" s="432"/>
      <c r="I214" s="432">
        <v>0</v>
      </c>
      <c r="J214" s="432"/>
      <c r="K214" s="432">
        <v>129179519.31</v>
      </c>
      <c r="L214" s="432"/>
      <c r="M214" s="432">
        <f t="shared" ref="M214:M215" si="11">O214-K214</f>
        <v>190356420.99000001</v>
      </c>
      <c r="N214" s="432"/>
      <c r="O214" s="432">
        <v>319535940.30000001</v>
      </c>
      <c r="P214" s="791"/>
      <c r="Q214" s="1190"/>
    </row>
    <row r="215" spans="2:17" s="768" customFormat="1" ht="15.75">
      <c r="B215" s="774">
        <v>60901</v>
      </c>
      <c r="C215" s="781"/>
      <c r="D215" s="775" t="s">
        <v>1263</v>
      </c>
      <c r="E215" s="782"/>
      <c r="F215" s="782"/>
      <c r="G215" s="432">
        <v>0</v>
      </c>
      <c r="H215" s="432"/>
      <c r="I215" s="432">
        <v>0</v>
      </c>
      <c r="J215" s="432"/>
      <c r="K215" s="432">
        <v>0</v>
      </c>
      <c r="L215" s="432"/>
      <c r="M215" s="432">
        <f t="shared" si="11"/>
        <v>0</v>
      </c>
      <c r="N215" s="432"/>
      <c r="O215" s="432">
        <v>0</v>
      </c>
      <c r="P215" s="791"/>
      <c r="Q215" s="1190" t="s">
        <v>103</v>
      </c>
    </row>
    <row r="216" spans="2:17" s="768" customFormat="1" ht="16.5" thickBot="1">
      <c r="B216" s="791"/>
      <c r="C216" s="770"/>
      <c r="D216" s="771" t="s">
        <v>1264</v>
      </c>
      <c r="E216" s="779"/>
      <c r="F216" s="779"/>
      <c r="G216" s="1174">
        <f>SUM(G214:G215)</f>
        <v>0</v>
      </c>
      <c r="H216" s="1659"/>
      <c r="I216" s="1174">
        <f>SUM(I214:I215)</f>
        <v>0</v>
      </c>
      <c r="J216" s="1659"/>
      <c r="K216" s="1174">
        <f>SUM(K214:K215)</f>
        <v>129179519.31</v>
      </c>
      <c r="L216" s="1659"/>
      <c r="M216" s="1174">
        <f>SUM(M214:M215)</f>
        <v>190356420.99000001</v>
      </c>
      <c r="N216" s="1659"/>
      <c r="O216" s="1174">
        <f>SUM(O214:O215)</f>
        <v>319535940.30000001</v>
      </c>
      <c r="P216" s="777"/>
      <c r="Q216" s="1190"/>
    </row>
    <row r="217" spans="2:17" s="768" customFormat="1" ht="16.5" thickTop="1">
      <c r="B217" s="791"/>
      <c r="C217" s="796"/>
      <c r="D217" s="796"/>
      <c r="E217" s="797"/>
      <c r="F217" s="797"/>
      <c r="G217" s="681"/>
      <c r="H217" s="1661"/>
      <c r="I217" s="681"/>
      <c r="J217" s="1661"/>
      <c r="K217" s="681"/>
      <c r="L217" s="1661"/>
      <c r="M217" s="432"/>
      <c r="N217" s="1661"/>
      <c r="O217" s="681"/>
      <c r="P217" s="777"/>
      <c r="Q217" s="1190"/>
    </row>
    <row r="218" spans="2:17" s="768" customFormat="1" ht="15.75">
      <c r="B218" s="791"/>
      <c r="C218" s="784"/>
      <c r="D218" s="771" t="s">
        <v>1265</v>
      </c>
      <c r="E218" s="788"/>
      <c r="F218" s="788"/>
      <c r="G218" s="681"/>
      <c r="H218" s="1661"/>
      <c r="I218" s="681"/>
      <c r="J218" s="1661"/>
      <c r="K218" s="681"/>
      <c r="L218" s="1661"/>
      <c r="M218" s="1663"/>
      <c r="N218" s="1664"/>
      <c r="O218" s="681"/>
      <c r="P218" s="845"/>
      <c r="Q218" s="1190"/>
    </row>
    <row r="219" spans="2:17" s="768" customFormat="1" ht="15.75">
      <c r="B219" s="774">
        <v>50318</v>
      </c>
      <c r="C219" s="773"/>
      <c r="D219" s="775" t="s">
        <v>1266</v>
      </c>
      <c r="E219" s="773"/>
      <c r="F219" s="773"/>
      <c r="G219" s="432">
        <v>1293770.81</v>
      </c>
      <c r="H219" s="432"/>
      <c r="I219" s="432">
        <v>1301946.8899999999</v>
      </c>
      <c r="J219" s="432"/>
      <c r="K219" s="432">
        <v>1294521.08</v>
      </c>
      <c r="L219" s="432"/>
      <c r="M219" s="432">
        <f t="shared" ref="M219" si="12">O219-K219</f>
        <v>133287.01</v>
      </c>
      <c r="N219" s="432"/>
      <c r="O219" s="432">
        <v>1427808.09</v>
      </c>
      <c r="P219" s="791"/>
      <c r="Q219" s="1190"/>
    </row>
    <row r="220" spans="2:17" s="768" customFormat="1" ht="15.75">
      <c r="B220" s="774">
        <v>50327</v>
      </c>
      <c r="C220" s="773"/>
      <c r="D220" s="775" t="s">
        <v>1267</v>
      </c>
      <c r="E220" s="773"/>
      <c r="F220" s="773"/>
      <c r="G220" s="432">
        <v>446596.89</v>
      </c>
      <c r="H220" s="432"/>
      <c r="I220" s="432">
        <v>410477.51</v>
      </c>
      <c r="J220" s="432"/>
      <c r="K220" s="432">
        <v>411531.84</v>
      </c>
      <c r="L220" s="432"/>
      <c r="M220" s="432">
        <f t="shared" ref="M220:M221" si="13">O220-K220</f>
        <v>41415.56</v>
      </c>
      <c r="N220" s="432"/>
      <c r="O220" s="432">
        <v>452947.4</v>
      </c>
      <c r="P220" s="791"/>
      <c r="Q220" s="1190"/>
    </row>
    <row r="221" spans="2:17" s="768" customFormat="1" ht="15.75">
      <c r="B221" s="774">
        <v>50651</v>
      </c>
      <c r="C221" s="773"/>
      <c r="D221" s="775" t="s">
        <v>1268</v>
      </c>
      <c r="E221" s="773"/>
      <c r="F221" s="773"/>
      <c r="G221" s="432">
        <v>0</v>
      </c>
      <c r="H221" s="432"/>
      <c r="I221" s="432">
        <v>0</v>
      </c>
      <c r="J221" s="432"/>
      <c r="K221" s="432">
        <v>0</v>
      </c>
      <c r="L221" s="432"/>
      <c r="M221" s="432">
        <f t="shared" si="13"/>
        <v>0</v>
      </c>
      <c r="N221" s="432"/>
      <c r="O221" s="432">
        <v>0</v>
      </c>
      <c r="P221" s="791"/>
      <c r="Q221" s="1190"/>
    </row>
    <row r="222" spans="2:17" s="768" customFormat="1" ht="16.5" thickBot="1">
      <c r="B222" s="786"/>
      <c r="C222" s="770"/>
      <c r="D222" s="778" t="s">
        <v>1269</v>
      </c>
      <c r="E222" s="772"/>
      <c r="F222" s="772"/>
      <c r="G222" s="1665">
        <f>SUM(G219:G221)</f>
        <v>1740367.7000000002</v>
      </c>
      <c r="H222" s="1659"/>
      <c r="I222" s="1665">
        <f>SUM(I219:I221)</f>
        <v>1712424.4</v>
      </c>
      <c r="J222" s="1659"/>
      <c r="K222" s="1665">
        <f>SUM(K219:K221)</f>
        <v>1706052.9200000002</v>
      </c>
      <c r="L222" s="1659"/>
      <c r="M222" s="1665">
        <f>SUM(M219:M221)</f>
        <v>174702.57</v>
      </c>
      <c r="N222" s="1659"/>
      <c r="O222" s="1665">
        <f>SUM(O219:O221)</f>
        <v>1880755.4900000002</v>
      </c>
      <c r="P222" s="786"/>
      <c r="Q222" s="1190"/>
    </row>
    <row r="223" spans="2:17" s="768" customFormat="1" ht="16.5" thickTop="1">
      <c r="B223" s="773"/>
      <c r="C223" s="773"/>
      <c r="D223" s="798"/>
      <c r="E223" s="773"/>
      <c r="F223" s="773"/>
      <c r="G223" s="681"/>
      <c r="H223" s="1666"/>
      <c r="I223" s="681"/>
      <c r="J223" s="1666"/>
      <c r="K223" s="681"/>
      <c r="L223" s="1666"/>
      <c r="M223" s="1666"/>
      <c r="N223" s="1666"/>
      <c r="O223" s="681"/>
      <c r="P223" s="786"/>
      <c r="Q223" s="1190"/>
    </row>
    <row r="224" spans="2:17" s="768" customFormat="1" ht="15.75">
      <c r="B224" s="769"/>
      <c r="C224" s="770"/>
      <c r="D224" s="771" t="s">
        <v>596</v>
      </c>
      <c r="E224" s="772"/>
      <c r="F224" s="772"/>
      <c r="G224" s="916"/>
      <c r="H224" s="1661"/>
      <c r="I224" s="916"/>
      <c r="J224" s="1661"/>
      <c r="K224" s="916"/>
      <c r="L224" s="1661"/>
      <c r="M224" s="1659"/>
      <c r="N224" s="1659"/>
      <c r="O224" s="916"/>
      <c r="P224" s="773"/>
      <c r="Q224" s="1190"/>
    </row>
    <row r="225" spans="2:17" s="768" customFormat="1" ht="15.75">
      <c r="B225" s="774">
        <v>55001</v>
      </c>
      <c r="C225" s="773"/>
      <c r="D225" s="775" t="s">
        <v>1270</v>
      </c>
      <c r="E225" s="773"/>
      <c r="F225" s="773"/>
      <c r="G225" s="432">
        <v>0</v>
      </c>
      <c r="H225" s="432"/>
      <c r="I225" s="432">
        <v>0</v>
      </c>
      <c r="J225" s="432"/>
      <c r="K225" s="432">
        <v>0</v>
      </c>
      <c r="L225" s="432"/>
      <c r="M225" s="432">
        <f t="shared" ref="M225" si="14">O225-K225</f>
        <v>0</v>
      </c>
      <c r="N225" s="432"/>
      <c r="O225" s="432">
        <v>0</v>
      </c>
      <c r="P225" s="777"/>
      <c r="Q225" s="1190"/>
    </row>
    <row r="226" spans="2:17" s="768" customFormat="1" ht="15.75">
      <c r="B226" s="774">
        <v>55002</v>
      </c>
      <c r="C226" s="773"/>
      <c r="D226" s="775" t="s">
        <v>1472</v>
      </c>
      <c r="E226" s="773"/>
      <c r="F226" s="773"/>
      <c r="G226" s="432">
        <v>0</v>
      </c>
      <c r="H226" s="432"/>
      <c r="I226" s="432">
        <v>0</v>
      </c>
      <c r="J226" s="432"/>
      <c r="K226" s="432">
        <v>0</v>
      </c>
      <c r="L226" s="432"/>
      <c r="M226" s="432">
        <f t="shared" ref="M226:M268" si="15">O226-K226</f>
        <v>0</v>
      </c>
      <c r="N226" s="432"/>
      <c r="O226" s="432">
        <v>0</v>
      </c>
      <c r="P226" s="777"/>
      <c r="Q226" s="1190"/>
    </row>
    <row r="227" spans="2:17" s="768" customFormat="1" ht="15.75">
      <c r="B227" s="774">
        <v>55003</v>
      </c>
      <c r="C227" s="781"/>
      <c r="D227" s="775" t="s">
        <v>1271</v>
      </c>
      <c r="E227" s="782"/>
      <c r="F227" s="782"/>
      <c r="G227" s="432">
        <v>0</v>
      </c>
      <c r="H227" s="432"/>
      <c r="I227" s="432">
        <v>0</v>
      </c>
      <c r="J227" s="432"/>
      <c r="K227" s="432">
        <v>0</v>
      </c>
      <c r="L227" s="432"/>
      <c r="M227" s="432">
        <f t="shared" si="15"/>
        <v>0</v>
      </c>
      <c r="N227" s="432"/>
      <c r="O227" s="432">
        <v>0</v>
      </c>
      <c r="P227" s="777"/>
      <c r="Q227" s="1190"/>
    </row>
    <row r="228" spans="2:17" s="768" customFormat="1" ht="15.75">
      <c r="B228" s="774">
        <v>55004</v>
      </c>
      <c r="C228" s="781"/>
      <c r="D228" s="780" t="s">
        <v>1272</v>
      </c>
      <c r="E228" s="782"/>
      <c r="F228" s="782"/>
      <c r="G228" s="432">
        <v>398771.46</v>
      </c>
      <c r="H228" s="432"/>
      <c r="I228" s="432">
        <v>540357.09</v>
      </c>
      <c r="J228" s="432"/>
      <c r="K228" s="432">
        <v>710034.15</v>
      </c>
      <c r="L228" s="432"/>
      <c r="M228" s="432">
        <f t="shared" si="15"/>
        <v>346881.69000000006</v>
      </c>
      <c r="N228" s="432"/>
      <c r="O228" s="432">
        <v>1056915.8400000001</v>
      </c>
      <c r="P228" s="777"/>
      <c r="Q228" s="1190"/>
    </row>
    <row r="229" spans="2:17" s="768" customFormat="1" ht="15.75">
      <c r="B229" s="774">
        <v>55005</v>
      </c>
      <c r="C229" s="781"/>
      <c r="D229" s="780" t="s">
        <v>1273</v>
      </c>
      <c r="E229" s="782"/>
      <c r="F229" s="782"/>
      <c r="G229" s="432">
        <v>0</v>
      </c>
      <c r="H229" s="432"/>
      <c r="I229" s="432">
        <v>0</v>
      </c>
      <c r="J229" s="432"/>
      <c r="K229" s="432">
        <v>0</v>
      </c>
      <c r="L229" s="432"/>
      <c r="M229" s="432">
        <f t="shared" si="15"/>
        <v>0</v>
      </c>
      <c r="N229" s="432"/>
      <c r="O229" s="432">
        <v>0</v>
      </c>
      <c r="P229" s="777"/>
      <c r="Q229" s="1190"/>
    </row>
    <row r="230" spans="2:17" s="768" customFormat="1" ht="15.75">
      <c r="B230" s="774">
        <v>55006</v>
      </c>
      <c r="C230" s="781"/>
      <c r="D230" s="775" t="s">
        <v>1473</v>
      </c>
      <c r="E230" s="782"/>
      <c r="F230" s="782"/>
      <c r="G230" s="432">
        <v>70241.429999999993</v>
      </c>
      <c r="H230" s="432"/>
      <c r="I230" s="432">
        <v>60914.65</v>
      </c>
      <c r="J230" s="432"/>
      <c r="K230" s="432">
        <v>60776.17</v>
      </c>
      <c r="L230" s="432"/>
      <c r="M230" s="432">
        <f t="shared" si="15"/>
        <v>-9598</v>
      </c>
      <c r="N230" s="432"/>
      <c r="O230" s="432">
        <v>51178.17</v>
      </c>
      <c r="P230" s="777"/>
      <c r="Q230" s="1190"/>
    </row>
    <row r="231" spans="2:17" s="768" customFormat="1" ht="15.75">
      <c r="B231" s="774">
        <v>55007</v>
      </c>
      <c r="C231" s="789"/>
      <c r="D231" s="775" t="s">
        <v>1274</v>
      </c>
      <c r="E231" s="790"/>
      <c r="F231" s="790"/>
      <c r="G231" s="432">
        <v>4550560.7</v>
      </c>
      <c r="H231" s="432"/>
      <c r="I231" s="432">
        <v>5051762.33</v>
      </c>
      <c r="J231" s="432"/>
      <c r="K231" s="432">
        <v>4875074.91</v>
      </c>
      <c r="L231" s="432"/>
      <c r="M231" s="432">
        <f t="shared" si="15"/>
        <v>-158975.25999999978</v>
      </c>
      <c r="N231" s="432"/>
      <c r="O231" s="432">
        <v>4716099.6500000004</v>
      </c>
      <c r="P231" s="777"/>
      <c r="Q231" s="1190"/>
    </row>
    <row r="232" spans="2:17" s="768" customFormat="1" ht="15.75">
      <c r="B232" s="774">
        <v>55008</v>
      </c>
      <c r="C232" s="781"/>
      <c r="D232" s="780" t="s">
        <v>1275</v>
      </c>
      <c r="E232" s="782"/>
      <c r="F232" s="782"/>
      <c r="G232" s="432">
        <v>13652990.869999999</v>
      </c>
      <c r="H232" s="432"/>
      <c r="I232" s="432">
        <v>5468049.8099999996</v>
      </c>
      <c r="J232" s="432"/>
      <c r="K232" s="432">
        <v>1199791.8700000001</v>
      </c>
      <c r="L232" s="432"/>
      <c r="M232" s="432">
        <f t="shared" si="15"/>
        <v>9990649.8900000006</v>
      </c>
      <c r="N232" s="432"/>
      <c r="O232" s="432">
        <v>11190441.76</v>
      </c>
      <c r="P232" s="786"/>
      <c r="Q232" s="1190"/>
    </row>
    <row r="233" spans="2:17" s="768" customFormat="1" ht="15.75">
      <c r="B233" s="774">
        <v>55009</v>
      </c>
      <c r="C233" s="781"/>
      <c r="D233" s="780" t="s">
        <v>1276</v>
      </c>
      <c r="E233" s="782"/>
      <c r="F233" s="782"/>
      <c r="G233" s="432">
        <v>0</v>
      </c>
      <c r="H233" s="432"/>
      <c r="I233" s="432">
        <v>0</v>
      </c>
      <c r="J233" s="432"/>
      <c r="K233" s="432">
        <v>0</v>
      </c>
      <c r="L233" s="432"/>
      <c r="M233" s="432">
        <f t="shared" si="15"/>
        <v>0</v>
      </c>
      <c r="N233" s="432"/>
      <c r="O233" s="432">
        <v>0</v>
      </c>
      <c r="P233" s="786"/>
      <c r="Q233" s="1190"/>
    </row>
    <row r="234" spans="2:17" s="768" customFormat="1" ht="15.75">
      <c r="B234" s="756">
        <v>55010</v>
      </c>
      <c r="C234" s="781"/>
      <c r="D234" s="775" t="s">
        <v>1277</v>
      </c>
      <c r="E234" s="782"/>
      <c r="F234" s="782"/>
      <c r="G234" s="432">
        <v>0</v>
      </c>
      <c r="H234" s="432"/>
      <c r="I234" s="432">
        <v>0</v>
      </c>
      <c r="J234" s="432"/>
      <c r="K234" s="432">
        <v>0</v>
      </c>
      <c r="L234" s="432"/>
      <c r="M234" s="432">
        <f t="shared" si="15"/>
        <v>0</v>
      </c>
      <c r="N234" s="432"/>
      <c r="O234" s="432">
        <v>0</v>
      </c>
      <c r="P234" s="773"/>
      <c r="Q234" s="1190"/>
    </row>
    <row r="235" spans="2:17" s="768" customFormat="1" ht="15.75">
      <c r="B235" s="774">
        <v>55011</v>
      </c>
      <c r="C235" s="789"/>
      <c r="D235" s="775" t="s">
        <v>1278</v>
      </c>
      <c r="E235" s="790"/>
      <c r="F235" s="790"/>
      <c r="G235" s="432">
        <v>0</v>
      </c>
      <c r="H235" s="432"/>
      <c r="I235" s="432">
        <v>0</v>
      </c>
      <c r="J235" s="432"/>
      <c r="K235" s="432">
        <v>0</v>
      </c>
      <c r="L235" s="432"/>
      <c r="M235" s="432">
        <f t="shared" si="15"/>
        <v>0</v>
      </c>
      <c r="N235" s="432"/>
      <c r="O235" s="432">
        <v>0</v>
      </c>
      <c r="P235" s="777"/>
      <c r="Q235" s="1190"/>
    </row>
    <row r="236" spans="2:17" s="768" customFormat="1" ht="15.75">
      <c r="B236" s="774">
        <v>55012</v>
      </c>
      <c r="C236" s="781"/>
      <c r="D236" s="780" t="s">
        <v>1279</v>
      </c>
      <c r="E236" s="782"/>
      <c r="F236" s="782"/>
      <c r="G236" s="432">
        <v>343835.8</v>
      </c>
      <c r="H236" s="432"/>
      <c r="I236" s="432">
        <v>337723.3</v>
      </c>
      <c r="J236" s="432"/>
      <c r="K236" s="432">
        <v>319707.18</v>
      </c>
      <c r="L236" s="432"/>
      <c r="M236" s="432">
        <f t="shared" si="15"/>
        <v>33024</v>
      </c>
      <c r="N236" s="432"/>
      <c r="O236" s="432">
        <v>352731.18</v>
      </c>
      <c r="P236" s="777"/>
      <c r="Q236" s="1190"/>
    </row>
    <row r="237" spans="2:17" s="768" customFormat="1" ht="15.75">
      <c r="B237" s="774">
        <v>55013</v>
      </c>
      <c r="C237" s="781"/>
      <c r="D237" s="780" t="s">
        <v>1280</v>
      </c>
      <c r="E237" s="782"/>
      <c r="F237" s="782"/>
      <c r="G237" s="432">
        <v>0</v>
      </c>
      <c r="H237" s="432"/>
      <c r="I237" s="432">
        <v>0</v>
      </c>
      <c r="J237" s="432"/>
      <c r="K237" s="432">
        <v>0</v>
      </c>
      <c r="L237" s="432"/>
      <c r="M237" s="432">
        <f t="shared" si="15"/>
        <v>0</v>
      </c>
      <c r="N237" s="432"/>
      <c r="O237" s="432">
        <v>0</v>
      </c>
      <c r="P237" s="777"/>
      <c r="Q237" s="1190"/>
    </row>
    <row r="238" spans="2:17" s="768" customFormat="1" ht="15.75">
      <c r="B238" s="774">
        <v>55014</v>
      </c>
      <c r="C238" s="781"/>
      <c r="D238" s="780" t="s">
        <v>1281</v>
      </c>
      <c r="E238" s="782"/>
      <c r="F238" s="782"/>
      <c r="G238" s="432">
        <v>0</v>
      </c>
      <c r="H238" s="432"/>
      <c r="I238" s="432">
        <v>0</v>
      </c>
      <c r="J238" s="432"/>
      <c r="K238" s="432">
        <v>0</v>
      </c>
      <c r="L238" s="432"/>
      <c r="M238" s="432">
        <f t="shared" si="15"/>
        <v>0</v>
      </c>
      <c r="N238" s="432"/>
      <c r="O238" s="432">
        <v>0</v>
      </c>
      <c r="P238" s="777"/>
      <c r="Q238" s="1190"/>
    </row>
    <row r="239" spans="2:17" s="768" customFormat="1" ht="15.75">
      <c r="B239" s="774">
        <v>55015</v>
      </c>
      <c r="C239" s="781"/>
      <c r="D239" s="780" t="s">
        <v>1282</v>
      </c>
      <c r="E239" s="782"/>
      <c r="F239" s="782"/>
      <c r="G239" s="432">
        <v>0</v>
      </c>
      <c r="H239" s="432"/>
      <c r="I239" s="432">
        <v>0</v>
      </c>
      <c r="J239" s="432"/>
      <c r="K239" s="432">
        <v>0</v>
      </c>
      <c r="L239" s="432"/>
      <c r="M239" s="432">
        <f t="shared" si="15"/>
        <v>0</v>
      </c>
      <c r="N239" s="432"/>
      <c r="O239" s="432">
        <v>0</v>
      </c>
      <c r="P239" s="777"/>
      <c r="Q239" s="1190"/>
    </row>
    <row r="240" spans="2:17" s="768" customFormat="1" ht="15.75">
      <c r="B240" s="774">
        <v>55016</v>
      </c>
      <c r="C240" s="781"/>
      <c r="D240" s="775" t="s">
        <v>1283</v>
      </c>
      <c r="E240" s="782"/>
      <c r="F240" s="782"/>
      <c r="G240" s="432">
        <v>111903.66</v>
      </c>
      <c r="H240" s="432"/>
      <c r="I240" s="432">
        <v>205047.77</v>
      </c>
      <c r="J240" s="432"/>
      <c r="K240" s="432">
        <v>62113.38</v>
      </c>
      <c r="L240" s="432"/>
      <c r="M240" s="432">
        <f t="shared" si="15"/>
        <v>-62113.38</v>
      </c>
      <c r="N240" s="432"/>
      <c r="O240" s="432">
        <v>0</v>
      </c>
      <c r="P240" s="777"/>
      <c r="Q240" s="1190"/>
    </row>
    <row r="241" spans="2:17" s="768" customFormat="1" ht="15.75">
      <c r="B241" s="774">
        <v>55017</v>
      </c>
      <c r="C241" s="781"/>
      <c r="D241" s="775" t="s">
        <v>1284</v>
      </c>
      <c r="E241" s="782"/>
      <c r="F241" s="782"/>
      <c r="G241" s="432">
        <v>1143785.3799999999</v>
      </c>
      <c r="H241" s="432"/>
      <c r="I241" s="432">
        <v>854510.14</v>
      </c>
      <c r="J241" s="432"/>
      <c r="K241" s="432">
        <v>1003108.9</v>
      </c>
      <c r="L241" s="432"/>
      <c r="M241" s="432">
        <f t="shared" si="15"/>
        <v>84841.220000000088</v>
      </c>
      <c r="N241" s="432"/>
      <c r="O241" s="432">
        <v>1087950.1200000001</v>
      </c>
      <c r="P241" s="777"/>
      <c r="Q241" s="1190"/>
    </row>
    <row r="242" spans="2:17" s="768" customFormat="1" ht="15.75">
      <c r="B242" s="774">
        <v>55018</v>
      </c>
      <c r="C242" s="781"/>
      <c r="D242" s="775" t="s">
        <v>1285</v>
      </c>
      <c r="E242" s="782"/>
      <c r="F242" s="782"/>
      <c r="G242" s="432">
        <v>0</v>
      </c>
      <c r="H242" s="432"/>
      <c r="I242" s="432">
        <v>0</v>
      </c>
      <c r="J242" s="432"/>
      <c r="K242" s="432">
        <v>0</v>
      </c>
      <c r="L242" s="432"/>
      <c r="M242" s="432">
        <f t="shared" si="15"/>
        <v>0</v>
      </c>
      <c r="N242" s="432"/>
      <c r="O242" s="432">
        <v>0</v>
      </c>
      <c r="P242" s="777"/>
      <c r="Q242" s="1190"/>
    </row>
    <row r="243" spans="2:17" s="768" customFormat="1" ht="15.75">
      <c r="B243" s="774">
        <v>55019</v>
      </c>
      <c r="C243" s="781"/>
      <c r="D243" s="775" t="s">
        <v>1286</v>
      </c>
      <c r="E243" s="782"/>
      <c r="F243" s="782"/>
      <c r="G243" s="432">
        <v>0</v>
      </c>
      <c r="H243" s="432"/>
      <c r="I243" s="432">
        <v>0</v>
      </c>
      <c r="J243" s="432"/>
      <c r="K243" s="432">
        <v>0</v>
      </c>
      <c r="L243" s="432"/>
      <c r="M243" s="432">
        <f t="shared" si="15"/>
        <v>0</v>
      </c>
      <c r="N243" s="432"/>
      <c r="O243" s="432">
        <v>0</v>
      </c>
      <c r="P243" s="777"/>
      <c r="Q243" s="1190"/>
    </row>
    <row r="244" spans="2:17" s="768" customFormat="1" ht="15.75">
      <c r="B244" s="774">
        <v>55020</v>
      </c>
      <c r="C244" s="781"/>
      <c r="D244" s="775" t="s">
        <v>1287</v>
      </c>
      <c r="E244" s="782"/>
      <c r="F244" s="782"/>
      <c r="G244" s="432">
        <v>17854648.620000001</v>
      </c>
      <c r="H244" s="432"/>
      <c r="I244" s="432">
        <v>13557614.68</v>
      </c>
      <c r="J244" s="432"/>
      <c r="K244" s="432">
        <v>12623526.16</v>
      </c>
      <c r="L244" s="432"/>
      <c r="M244" s="432">
        <f t="shared" si="15"/>
        <v>11740621.890000001</v>
      </c>
      <c r="N244" s="432"/>
      <c r="O244" s="432">
        <v>24364148.050000001</v>
      </c>
      <c r="P244" s="777"/>
      <c r="Q244" s="1190"/>
    </row>
    <row r="245" spans="2:17" s="768" customFormat="1" ht="15.75">
      <c r="B245" s="774">
        <v>55021</v>
      </c>
      <c r="C245" s="781"/>
      <c r="D245" s="775" t="s">
        <v>1288</v>
      </c>
      <c r="E245" s="782"/>
      <c r="F245" s="782"/>
      <c r="G245" s="432">
        <v>8785048.5800000001</v>
      </c>
      <c r="H245" s="432"/>
      <c r="I245" s="432">
        <v>9265377.8000000007</v>
      </c>
      <c r="J245" s="432"/>
      <c r="K245" s="432">
        <v>9153374.5899999999</v>
      </c>
      <c r="L245" s="432"/>
      <c r="M245" s="432">
        <f t="shared" si="15"/>
        <v>826757.00999999978</v>
      </c>
      <c r="N245" s="432"/>
      <c r="O245" s="432">
        <v>9980131.5999999996</v>
      </c>
      <c r="P245" s="777"/>
      <c r="Q245" s="1190"/>
    </row>
    <row r="246" spans="2:17" s="768" customFormat="1" ht="15.75">
      <c r="B246" s="774">
        <v>55022</v>
      </c>
      <c r="C246" s="781"/>
      <c r="D246" s="780" t="s">
        <v>1289</v>
      </c>
      <c r="E246" s="782"/>
      <c r="F246" s="782"/>
      <c r="G246" s="432">
        <v>4036718.64</v>
      </c>
      <c r="H246" s="432"/>
      <c r="I246" s="432">
        <v>6873895.7000000002</v>
      </c>
      <c r="J246" s="432"/>
      <c r="K246" s="432">
        <v>9468895.4600000009</v>
      </c>
      <c r="L246" s="432"/>
      <c r="M246" s="432">
        <f t="shared" si="15"/>
        <v>-9468895.4600000009</v>
      </c>
      <c r="N246" s="432"/>
      <c r="O246" s="432">
        <v>0</v>
      </c>
      <c r="P246" s="777"/>
      <c r="Q246" s="1190"/>
    </row>
    <row r="247" spans="2:17" s="768" customFormat="1" ht="15.75">
      <c r="B247" s="774">
        <v>55052</v>
      </c>
      <c r="C247" s="781"/>
      <c r="D247" s="780" t="s">
        <v>1290</v>
      </c>
      <c r="E247" s="782"/>
      <c r="F247" s="782"/>
      <c r="G247" s="432">
        <v>2441804.8199999998</v>
      </c>
      <c r="H247" s="432"/>
      <c r="I247" s="432">
        <v>2537142.83</v>
      </c>
      <c r="J247" s="432"/>
      <c r="K247" s="432">
        <v>2336122.67</v>
      </c>
      <c r="L247" s="432"/>
      <c r="M247" s="432">
        <f t="shared" si="15"/>
        <v>-34392.719999999739</v>
      </c>
      <c r="N247" s="432"/>
      <c r="O247" s="432">
        <v>2301729.9500000002</v>
      </c>
      <c r="P247" s="777"/>
      <c r="Q247" s="1190"/>
    </row>
    <row r="248" spans="2:17" s="768" customFormat="1" ht="15.75">
      <c r="B248" s="774">
        <v>55053</v>
      </c>
      <c r="C248" s="781"/>
      <c r="D248" s="775" t="s">
        <v>1291</v>
      </c>
      <c r="E248" s="782"/>
      <c r="F248" s="782"/>
      <c r="G248" s="432">
        <v>0</v>
      </c>
      <c r="H248" s="432"/>
      <c r="I248" s="432">
        <v>0</v>
      </c>
      <c r="J248" s="432"/>
      <c r="K248" s="432">
        <v>0</v>
      </c>
      <c r="L248" s="432"/>
      <c r="M248" s="432">
        <f t="shared" si="15"/>
        <v>0</v>
      </c>
      <c r="N248" s="432"/>
      <c r="O248" s="432">
        <v>0</v>
      </c>
      <c r="P248" s="777"/>
      <c r="Q248" s="1190"/>
    </row>
    <row r="249" spans="2:17" s="768" customFormat="1" ht="15.75">
      <c r="B249" s="774">
        <v>55055</v>
      </c>
      <c r="C249" s="781"/>
      <c r="D249" s="775" t="s">
        <v>1292</v>
      </c>
      <c r="E249" s="782"/>
      <c r="F249" s="782"/>
      <c r="G249" s="432">
        <v>0</v>
      </c>
      <c r="H249" s="432"/>
      <c r="I249" s="432">
        <v>0</v>
      </c>
      <c r="J249" s="432"/>
      <c r="K249" s="432">
        <v>0</v>
      </c>
      <c r="L249" s="432"/>
      <c r="M249" s="432">
        <f t="shared" si="15"/>
        <v>0</v>
      </c>
      <c r="N249" s="432"/>
      <c r="O249" s="432">
        <v>0</v>
      </c>
      <c r="P249" s="777"/>
      <c r="Q249" s="1190"/>
    </row>
    <row r="250" spans="2:17" s="768" customFormat="1" ht="15.75">
      <c r="B250" s="774">
        <v>55056</v>
      </c>
      <c r="C250" s="781"/>
      <c r="D250" s="775" t="s">
        <v>1293</v>
      </c>
      <c r="E250" s="782"/>
      <c r="F250" s="782"/>
      <c r="G250" s="432">
        <v>0</v>
      </c>
      <c r="H250" s="432"/>
      <c r="I250" s="432">
        <v>0</v>
      </c>
      <c r="J250" s="432"/>
      <c r="K250" s="432">
        <v>0</v>
      </c>
      <c r="L250" s="432"/>
      <c r="M250" s="432">
        <f t="shared" si="15"/>
        <v>0</v>
      </c>
      <c r="N250" s="432"/>
      <c r="O250" s="432">
        <v>0</v>
      </c>
      <c r="P250" s="777" t="s">
        <v>1508</v>
      </c>
      <c r="Q250" s="1190"/>
    </row>
    <row r="251" spans="2:17" s="768" customFormat="1" ht="15.75">
      <c r="B251" s="774">
        <v>55057</v>
      </c>
      <c r="C251" s="781"/>
      <c r="D251" s="775" t="s">
        <v>1294</v>
      </c>
      <c r="E251" s="782"/>
      <c r="F251" s="782"/>
      <c r="G251" s="432">
        <v>0</v>
      </c>
      <c r="H251" s="432"/>
      <c r="I251" s="432">
        <v>16562.78</v>
      </c>
      <c r="J251" s="432"/>
      <c r="K251" s="432">
        <v>5492.62</v>
      </c>
      <c r="L251" s="432"/>
      <c r="M251" s="432">
        <f t="shared" si="15"/>
        <v>107822.71</v>
      </c>
      <c r="N251" s="432"/>
      <c r="O251" s="432">
        <v>113315.33</v>
      </c>
      <c r="P251" s="777"/>
      <c r="Q251" s="1190"/>
    </row>
    <row r="252" spans="2:17" s="768" customFormat="1" ht="15.75">
      <c r="B252" s="774">
        <v>55058</v>
      </c>
      <c r="C252" s="781"/>
      <c r="D252" s="775" t="s">
        <v>1295</v>
      </c>
      <c r="E252" s="782"/>
      <c r="F252" s="782"/>
      <c r="G252" s="432">
        <v>5386533.8399999999</v>
      </c>
      <c r="H252" s="432"/>
      <c r="I252" s="432">
        <v>5597089.0300000003</v>
      </c>
      <c r="J252" s="432"/>
      <c r="K252" s="432">
        <v>5712644.75</v>
      </c>
      <c r="L252" s="432"/>
      <c r="M252" s="432">
        <f t="shared" si="15"/>
        <v>511625.41999999993</v>
      </c>
      <c r="N252" s="432"/>
      <c r="O252" s="432">
        <v>6224270.1699999999</v>
      </c>
      <c r="P252" s="777"/>
      <c r="Q252" s="1190"/>
    </row>
    <row r="253" spans="2:17" s="768" customFormat="1" ht="15.75">
      <c r="B253" s="774">
        <v>55059</v>
      </c>
      <c r="C253" s="781"/>
      <c r="D253" s="775" t="s">
        <v>1296</v>
      </c>
      <c r="E253" s="782"/>
      <c r="F253" s="782"/>
      <c r="G253" s="432">
        <v>0</v>
      </c>
      <c r="H253" s="432"/>
      <c r="I253" s="432">
        <v>0</v>
      </c>
      <c r="J253" s="432"/>
      <c r="K253" s="432">
        <v>0</v>
      </c>
      <c r="L253" s="432"/>
      <c r="M253" s="432">
        <f t="shared" si="15"/>
        <v>0</v>
      </c>
      <c r="N253" s="432"/>
      <c r="O253" s="432">
        <v>0</v>
      </c>
      <c r="P253" s="777"/>
      <c r="Q253" s="1190"/>
    </row>
    <row r="254" spans="2:17" s="768" customFormat="1" ht="15.75">
      <c r="B254" s="774">
        <v>55060</v>
      </c>
      <c r="C254" s="781"/>
      <c r="D254" s="780" t="s">
        <v>1297</v>
      </c>
      <c r="E254" s="782"/>
      <c r="F254" s="782"/>
      <c r="G254" s="432">
        <v>1691601.89</v>
      </c>
      <c r="H254" s="432"/>
      <c r="I254" s="432">
        <v>1452521.56</v>
      </c>
      <c r="J254" s="432"/>
      <c r="K254" s="432">
        <v>3246877.16</v>
      </c>
      <c r="L254" s="432"/>
      <c r="M254" s="432">
        <f t="shared" si="15"/>
        <v>-46351.540000000037</v>
      </c>
      <c r="N254" s="432"/>
      <c r="O254" s="432">
        <v>3200525.62</v>
      </c>
      <c r="P254" s="777"/>
      <c r="Q254" s="1190"/>
    </row>
    <row r="255" spans="2:17" s="768" customFormat="1" ht="15.75">
      <c r="B255" s="774">
        <v>55061</v>
      </c>
      <c r="C255" s="781"/>
      <c r="D255" s="780" t="s">
        <v>1298</v>
      </c>
      <c r="E255" s="782"/>
      <c r="F255" s="782"/>
      <c r="G255" s="432">
        <v>0</v>
      </c>
      <c r="H255" s="432"/>
      <c r="I255" s="432">
        <v>0</v>
      </c>
      <c r="J255" s="432"/>
      <c r="K255" s="432">
        <v>0</v>
      </c>
      <c r="L255" s="432"/>
      <c r="M255" s="432">
        <f t="shared" si="15"/>
        <v>0</v>
      </c>
      <c r="N255" s="432"/>
      <c r="O255" s="432">
        <v>0</v>
      </c>
      <c r="P255" s="777" t="s">
        <v>1508</v>
      </c>
      <c r="Q255" s="1190"/>
    </row>
    <row r="256" spans="2:17" s="768" customFormat="1" ht="15.75">
      <c r="B256" s="774">
        <v>55062</v>
      </c>
      <c r="C256" s="781"/>
      <c r="D256" s="775" t="s">
        <v>1299</v>
      </c>
      <c r="E256" s="782"/>
      <c r="F256" s="782"/>
      <c r="G256" s="432">
        <v>29872137.460000001</v>
      </c>
      <c r="H256" s="432"/>
      <c r="I256" s="432">
        <v>29872137.460000001</v>
      </c>
      <c r="J256" s="432"/>
      <c r="K256" s="432">
        <v>29452584.469999999</v>
      </c>
      <c r="L256" s="432"/>
      <c r="M256" s="432">
        <f t="shared" si="15"/>
        <v>0</v>
      </c>
      <c r="N256" s="432"/>
      <c r="O256" s="432">
        <v>29452584.469999999</v>
      </c>
      <c r="P256" s="777"/>
      <c r="Q256" s="1190"/>
    </row>
    <row r="257" spans="2:17" s="768" customFormat="1" ht="15.75">
      <c r="B257" s="774">
        <v>55066</v>
      </c>
      <c r="C257" s="781"/>
      <c r="D257" s="775" t="s">
        <v>1300</v>
      </c>
      <c r="E257" s="782"/>
      <c r="F257" s="782"/>
      <c r="G257" s="432">
        <v>0</v>
      </c>
      <c r="H257" s="432"/>
      <c r="I257" s="432">
        <v>0</v>
      </c>
      <c r="J257" s="432"/>
      <c r="K257" s="432">
        <v>0</v>
      </c>
      <c r="L257" s="432"/>
      <c r="M257" s="432">
        <f t="shared" si="15"/>
        <v>0</v>
      </c>
      <c r="N257" s="432"/>
      <c r="O257" s="432">
        <v>0</v>
      </c>
      <c r="P257" s="777"/>
      <c r="Q257" s="1190"/>
    </row>
    <row r="258" spans="2:17" s="768" customFormat="1" ht="15.75">
      <c r="B258" s="774">
        <v>55067</v>
      </c>
      <c r="C258" s="781"/>
      <c r="D258" s="775" t="s">
        <v>1301</v>
      </c>
      <c r="E258" s="782"/>
      <c r="F258" s="782"/>
      <c r="G258" s="432">
        <v>747018.92</v>
      </c>
      <c r="H258" s="432"/>
      <c r="I258" s="432">
        <v>750027.72</v>
      </c>
      <c r="J258" s="432"/>
      <c r="K258" s="432">
        <v>621395.78</v>
      </c>
      <c r="L258" s="432"/>
      <c r="M258" s="432">
        <f t="shared" si="15"/>
        <v>37547.369999999995</v>
      </c>
      <c r="N258" s="432"/>
      <c r="O258" s="432">
        <v>658943.15</v>
      </c>
      <c r="P258" s="777"/>
      <c r="Q258" s="1190"/>
    </row>
    <row r="259" spans="2:17" s="768" customFormat="1" ht="15.75">
      <c r="B259" s="774">
        <v>55069</v>
      </c>
      <c r="C259" s="781"/>
      <c r="D259" s="775" t="s">
        <v>1302</v>
      </c>
      <c r="E259" s="782"/>
      <c r="F259" s="782"/>
      <c r="G259" s="432">
        <v>0</v>
      </c>
      <c r="H259" s="432"/>
      <c r="I259" s="432">
        <v>0</v>
      </c>
      <c r="J259" s="432"/>
      <c r="K259" s="432">
        <v>0</v>
      </c>
      <c r="L259" s="432"/>
      <c r="M259" s="432">
        <f t="shared" si="15"/>
        <v>0</v>
      </c>
      <c r="N259" s="432"/>
      <c r="O259" s="432">
        <v>0</v>
      </c>
      <c r="P259" s="777"/>
      <c r="Q259" s="1190"/>
    </row>
    <row r="260" spans="2:17" s="768" customFormat="1" ht="15.75">
      <c r="B260" s="791">
        <v>55071</v>
      </c>
      <c r="C260" s="781"/>
      <c r="D260" s="775" t="s">
        <v>1303</v>
      </c>
      <c r="E260" s="782"/>
      <c r="F260" s="782"/>
      <c r="G260" s="432">
        <v>165928.74</v>
      </c>
      <c r="H260" s="432"/>
      <c r="I260" s="432">
        <v>279265.91999999998</v>
      </c>
      <c r="J260" s="432"/>
      <c r="K260" s="432">
        <v>374641.74</v>
      </c>
      <c r="L260" s="432"/>
      <c r="M260" s="432">
        <f t="shared" si="15"/>
        <v>-125067.29999999999</v>
      </c>
      <c r="N260" s="432"/>
      <c r="O260" s="432">
        <v>249574.44</v>
      </c>
      <c r="P260" s="777"/>
      <c r="Q260" s="1190"/>
    </row>
    <row r="261" spans="2:17" s="768" customFormat="1" ht="15.75">
      <c r="B261" s="774">
        <v>55072</v>
      </c>
      <c r="C261" s="781"/>
      <c r="D261" s="775" t="s">
        <v>1304</v>
      </c>
      <c r="E261" s="782"/>
      <c r="F261" s="782"/>
      <c r="G261" s="432">
        <v>5647340.8300000001</v>
      </c>
      <c r="H261" s="432"/>
      <c r="I261" s="432">
        <v>6555177.5099999998</v>
      </c>
      <c r="J261" s="432"/>
      <c r="K261" s="432">
        <v>7429850.5</v>
      </c>
      <c r="L261" s="432"/>
      <c r="M261" s="432">
        <f t="shared" si="15"/>
        <v>-1318096.1500000004</v>
      </c>
      <c r="N261" s="432"/>
      <c r="O261" s="432">
        <v>6111754.3499999996</v>
      </c>
      <c r="P261" s="777"/>
      <c r="Q261" s="1190"/>
    </row>
    <row r="262" spans="2:17" s="768" customFormat="1" ht="15.75">
      <c r="B262" s="791">
        <v>55073</v>
      </c>
      <c r="C262" s="781"/>
      <c r="D262" s="775" t="s">
        <v>1305</v>
      </c>
      <c r="E262" s="782"/>
      <c r="F262" s="782"/>
      <c r="G262" s="432">
        <v>0</v>
      </c>
      <c r="H262" s="432"/>
      <c r="I262" s="432">
        <v>0</v>
      </c>
      <c r="J262" s="432"/>
      <c r="K262" s="432">
        <v>0</v>
      </c>
      <c r="L262" s="432"/>
      <c r="M262" s="432">
        <f t="shared" si="15"/>
        <v>0</v>
      </c>
      <c r="N262" s="432"/>
      <c r="O262" s="432">
        <v>0</v>
      </c>
      <c r="P262" s="777" t="s">
        <v>1508</v>
      </c>
      <c r="Q262" s="1190"/>
    </row>
    <row r="263" spans="2:17" s="768" customFormat="1" ht="15.75">
      <c r="B263" s="791">
        <v>55074</v>
      </c>
      <c r="C263" s="781"/>
      <c r="D263" s="775" t="s">
        <v>1306</v>
      </c>
      <c r="E263" s="782"/>
      <c r="F263" s="782"/>
      <c r="G263" s="432">
        <v>0</v>
      </c>
      <c r="H263" s="432"/>
      <c r="I263" s="432">
        <v>0</v>
      </c>
      <c r="J263" s="432"/>
      <c r="K263" s="432">
        <v>0</v>
      </c>
      <c r="L263" s="432"/>
      <c r="M263" s="432">
        <f t="shared" si="15"/>
        <v>0</v>
      </c>
      <c r="N263" s="432"/>
      <c r="O263" s="432">
        <v>0</v>
      </c>
      <c r="P263" s="777"/>
      <c r="Q263" s="1190"/>
    </row>
    <row r="264" spans="2:17" s="768" customFormat="1" ht="15.75">
      <c r="B264" s="774">
        <v>55251</v>
      </c>
      <c r="C264" s="781"/>
      <c r="D264" s="780" t="s">
        <v>1307</v>
      </c>
      <c r="E264" s="782"/>
      <c r="F264" s="782"/>
      <c r="G264" s="432">
        <v>12862171.859999999</v>
      </c>
      <c r="H264" s="432"/>
      <c r="I264" s="432">
        <v>13226749.640000001</v>
      </c>
      <c r="J264" s="432"/>
      <c r="K264" s="432">
        <v>13549839.800000001</v>
      </c>
      <c r="L264" s="432"/>
      <c r="M264" s="432">
        <f t="shared" si="15"/>
        <v>1063958.3499999996</v>
      </c>
      <c r="N264" s="432"/>
      <c r="O264" s="432">
        <v>14613798.15</v>
      </c>
      <c r="P264" s="777"/>
      <c r="Q264" s="1190"/>
    </row>
    <row r="265" spans="2:17" s="768" customFormat="1" ht="15.75">
      <c r="B265" s="774">
        <v>55252</v>
      </c>
      <c r="C265" s="781"/>
      <c r="D265" s="775" t="s">
        <v>1308</v>
      </c>
      <c r="E265" s="782"/>
      <c r="F265" s="782"/>
      <c r="G265" s="432">
        <v>16061223.77</v>
      </c>
      <c r="H265" s="432"/>
      <c r="I265" s="432">
        <v>19710740.57</v>
      </c>
      <c r="J265" s="432"/>
      <c r="K265" s="432">
        <v>21648892.710000001</v>
      </c>
      <c r="L265" s="432"/>
      <c r="M265" s="432">
        <f t="shared" si="15"/>
        <v>5820892.3599999994</v>
      </c>
      <c r="N265" s="432"/>
      <c r="O265" s="432">
        <v>27469785.07</v>
      </c>
      <c r="P265" s="777"/>
      <c r="Q265" s="1190"/>
    </row>
    <row r="266" spans="2:17" s="768" customFormat="1" ht="15.75">
      <c r="B266" s="774">
        <v>55300</v>
      </c>
      <c r="C266" s="781"/>
      <c r="D266" s="780" t="s">
        <v>1309</v>
      </c>
      <c r="E266" s="782"/>
      <c r="F266" s="782"/>
      <c r="G266" s="432">
        <v>0</v>
      </c>
      <c r="H266" s="432"/>
      <c r="I266" s="432">
        <v>918798.37</v>
      </c>
      <c r="J266" s="432"/>
      <c r="K266" s="432">
        <v>1767126.34</v>
      </c>
      <c r="L266" s="432"/>
      <c r="M266" s="432">
        <f t="shared" si="15"/>
        <v>3181628.13</v>
      </c>
      <c r="N266" s="432"/>
      <c r="O266" s="432">
        <v>4948754.47</v>
      </c>
      <c r="P266" s="777"/>
      <c r="Q266" s="1190"/>
    </row>
    <row r="267" spans="2:17" s="768" customFormat="1" ht="15.75">
      <c r="B267" s="774">
        <v>55301</v>
      </c>
      <c r="C267" s="781"/>
      <c r="D267" s="780" t="s">
        <v>1310</v>
      </c>
      <c r="E267" s="782"/>
      <c r="F267" s="782"/>
      <c r="G267" s="432">
        <v>0</v>
      </c>
      <c r="H267" s="432"/>
      <c r="I267" s="432">
        <v>0</v>
      </c>
      <c r="J267" s="432"/>
      <c r="K267" s="432">
        <v>0</v>
      </c>
      <c r="L267" s="432"/>
      <c r="M267" s="432">
        <f t="shared" si="15"/>
        <v>0</v>
      </c>
      <c r="N267" s="432"/>
      <c r="O267" s="432">
        <v>0</v>
      </c>
      <c r="P267" s="777"/>
      <c r="Q267" s="1190"/>
    </row>
    <row r="268" spans="2:17" s="768" customFormat="1" ht="15.75">
      <c r="B268" s="774">
        <v>55350</v>
      </c>
      <c r="C268" s="773"/>
      <c r="D268" s="780" t="s">
        <v>1311</v>
      </c>
      <c r="E268" s="773"/>
      <c r="F268" s="773"/>
      <c r="G268" s="432">
        <v>0</v>
      </c>
      <c r="H268" s="432"/>
      <c r="I268" s="432">
        <v>0</v>
      </c>
      <c r="J268" s="432"/>
      <c r="K268" s="432">
        <v>0</v>
      </c>
      <c r="L268" s="432"/>
      <c r="M268" s="432">
        <f t="shared" si="15"/>
        <v>0</v>
      </c>
      <c r="N268" s="432"/>
      <c r="O268" s="432">
        <v>0</v>
      </c>
      <c r="P268" s="777"/>
      <c r="Q268" s="1190"/>
    </row>
    <row r="269" spans="2:17" s="768" customFormat="1" ht="16.5" thickBot="1">
      <c r="B269" s="799"/>
      <c r="C269" s="770"/>
      <c r="D269" s="771" t="s">
        <v>1312</v>
      </c>
      <c r="E269" s="772"/>
      <c r="F269" s="772"/>
      <c r="G269" s="1658">
        <f>SUM(G225:G268)</f>
        <v>125824267.27</v>
      </c>
      <c r="H269" s="1659"/>
      <c r="I269" s="1658">
        <f>SUM(I225:I268)</f>
        <v>123131466.66000003</v>
      </c>
      <c r="J269" s="1659"/>
      <c r="K269" s="1658">
        <f>SUM(K225:K268)</f>
        <v>125621871.31</v>
      </c>
      <c r="L269" s="1659"/>
      <c r="M269" s="1658">
        <f>SUM(M225:M268)</f>
        <v>22522760.23</v>
      </c>
      <c r="N269" s="1659"/>
      <c r="O269" s="1658">
        <f>SUM(O225:O268)</f>
        <v>148144631.53999999</v>
      </c>
      <c r="P269" s="777"/>
      <c r="Q269" s="1190"/>
    </row>
    <row r="270" spans="2:17" s="768" customFormat="1" ht="16.5" thickTop="1">
      <c r="B270" s="785"/>
      <c r="C270" s="773"/>
      <c r="D270" s="800"/>
      <c r="E270" s="773"/>
      <c r="F270" s="773"/>
      <c r="G270" s="432"/>
      <c r="H270" s="1661"/>
      <c r="I270" s="432"/>
      <c r="J270" s="1661"/>
      <c r="K270" s="432"/>
      <c r="L270" s="1661"/>
      <c r="M270" s="432"/>
      <c r="N270" s="1661"/>
      <c r="O270" s="432"/>
      <c r="P270" s="777"/>
      <c r="Q270" s="1190"/>
    </row>
    <row r="271" spans="2:17" s="768" customFormat="1" ht="16.5" thickBot="1">
      <c r="B271" s="785"/>
      <c r="C271" s="773"/>
      <c r="D271" s="800"/>
      <c r="E271" s="773"/>
      <c r="F271" s="773"/>
      <c r="G271" s="432"/>
      <c r="H271" s="1661"/>
      <c r="I271" s="432"/>
      <c r="J271" s="1661"/>
      <c r="K271" s="432"/>
      <c r="L271" s="1661"/>
      <c r="M271" s="432"/>
      <c r="N271" s="1661"/>
      <c r="O271" s="432"/>
      <c r="P271" s="777"/>
      <c r="Q271" s="1190"/>
    </row>
    <row r="272" spans="2:17" s="768" customFormat="1" ht="16.5" thickBot="1">
      <c r="B272" s="799"/>
      <c r="C272" s="801"/>
      <c r="D272" s="802" t="s">
        <v>1313</v>
      </c>
      <c r="E272" s="772"/>
      <c r="F272" s="776"/>
      <c r="G272" s="1667">
        <f>G269+G222+G216+G211+G199+G104+G11</f>
        <v>7765830519.4100018</v>
      </c>
      <c r="H272" s="776"/>
      <c r="I272" s="1667">
        <f>I269+I222+I216+I211+I199+I104+I11</f>
        <v>5749058605.2299995</v>
      </c>
      <c r="J272" s="776"/>
      <c r="K272" s="1667">
        <f>K269+K222+K216+K211+K199+K104+K11</f>
        <v>7004431897.8200016</v>
      </c>
      <c r="L272" s="776"/>
      <c r="M272" s="1667">
        <f>M269+M222+M216+M211+M199+M104+M11</f>
        <v>1846473268.7299991</v>
      </c>
      <c r="N272" s="776"/>
      <c r="O272" s="1667">
        <f>O269+O222+O216+O211+O199+O104+O11</f>
        <v>8850905166.5499992</v>
      </c>
      <c r="P272" s="777"/>
      <c r="Q272" s="1190"/>
    </row>
    <row r="273" spans="2:16" s="768" customFormat="1" ht="15.75">
      <c r="B273" s="785"/>
      <c r="C273" s="773"/>
      <c r="D273" s="800"/>
      <c r="E273" s="773"/>
      <c r="F273" s="773"/>
      <c r="G273"/>
      <c r="H273" s="1659"/>
      <c r="I273" s="1662"/>
      <c r="J273" s="1659"/>
      <c r="K273" s="1662"/>
      <c r="L273" s="1659"/>
      <c r="M273" s="433"/>
      <c r="N273" s="773"/>
      <c r="O273" s="433"/>
      <c r="P273" s="777"/>
    </row>
    <row r="274" spans="2:16" s="768" customFormat="1" ht="15.75">
      <c r="B274" s="919" t="s">
        <v>1314</v>
      </c>
      <c r="C274" s="683" t="s">
        <v>1523</v>
      </c>
      <c r="D274" s="803"/>
      <c r="E274" s="344"/>
      <c r="F274" s="344"/>
      <c r="G274" s="1662"/>
      <c r="H274" s="804"/>
      <c r="I274" s="1175"/>
      <c r="J274" s="266"/>
      <c r="K274" s="1175"/>
      <c r="L274" s="266"/>
      <c r="M274" s="1175"/>
      <c r="N274" s="266"/>
      <c r="O274" s="1175"/>
      <c r="P274" s="777"/>
    </row>
    <row r="275" spans="2:16" s="768" customFormat="1" ht="15.75">
      <c r="B275" s="805"/>
      <c r="C275" s="344" t="s">
        <v>1315</v>
      </c>
      <c r="D275" s="806"/>
      <c r="E275" s="344"/>
      <c r="F275" s="344"/>
      <c r="G275" s="1175"/>
      <c r="H275" s="804"/>
      <c r="I275" s="1175"/>
      <c r="J275" s="266"/>
      <c r="K275" s="1175"/>
      <c r="L275" s="266"/>
      <c r="M275" s="1175"/>
      <c r="N275" s="266"/>
      <c r="O275" s="1175"/>
      <c r="P275" s="777"/>
    </row>
    <row r="276" spans="2:16" s="768" customFormat="1" ht="15.75">
      <c r="B276" s="805"/>
      <c r="C276" s="344" t="s">
        <v>1316</v>
      </c>
      <c r="D276" s="803"/>
      <c r="E276" s="344"/>
      <c r="F276" s="344"/>
      <c r="G276" s="1175"/>
      <c r="H276" s="804"/>
      <c r="I276" s="1176"/>
      <c r="J276" s="346"/>
      <c r="K276" s="1176"/>
      <c r="L276" s="346"/>
      <c r="M276" s="1176"/>
      <c r="N276" s="346"/>
      <c r="O276" s="1176"/>
      <c r="P276" s="777"/>
    </row>
    <row r="277" spans="2:16" s="768" customFormat="1" ht="15.75">
      <c r="B277" s="805"/>
      <c r="C277" s="344" t="s">
        <v>1317</v>
      </c>
      <c r="D277" s="803"/>
      <c r="E277" s="344"/>
      <c r="F277" s="344"/>
      <c r="G277" s="1176"/>
      <c r="H277" s="804"/>
      <c r="I277" s="1176"/>
      <c r="J277" s="346"/>
      <c r="K277" s="1176"/>
      <c r="L277" s="346"/>
      <c r="M277" s="1176"/>
      <c r="N277" s="346"/>
      <c r="O277" s="1176"/>
      <c r="P277" s="777"/>
    </row>
    <row r="278" spans="2:16" s="768" customFormat="1" ht="15.75">
      <c r="B278" s="805"/>
      <c r="C278" s="344" t="s">
        <v>1318</v>
      </c>
      <c r="D278" s="803"/>
      <c r="E278" s="344"/>
      <c r="F278" s="344"/>
      <c r="G278" s="1176"/>
      <c r="H278" s="804"/>
      <c r="I278" s="1177"/>
      <c r="J278" s="807"/>
      <c r="K278" s="1177"/>
      <c r="L278" s="807"/>
      <c r="M278" s="1177"/>
      <c r="N278" s="807"/>
      <c r="O278" s="1177"/>
      <c r="P278" s="777"/>
    </row>
    <row r="279" spans="2:16" s="768" customFormat="1" ht="15.75">
      <c r="B279" s="683"/>
      <c r="C279" s="344" t="s">
        <v>1319</v>
      </c>
      <c r="D279" s="803"/>
      <c r="E279" s="344"/>
      <c r="F279" s="344"/>
      <c r="G279" s="1177"/>
      <c r="H279" s="804"/>
      <c r="I279" s="1177"/>
      <c r="J279" s="807"/>
      <c r="K279" s="1177"/>
      <c r="L279" s="807"/>
      <c r="M279" s="1177"/>
      <c r="N279" s="807"/>
      <c r="O279" s="1177"/>
      <c r="P279" s="777"/>
    </row>
    <row r="280" spans="2:16" s="768" customFormat="1" ht="15.75">
      <c r="B280" s="683"/>
      <c r="C280" s="804" t="s">
        <v>1320</v>
      </c>
      <c r="D280" s="806"/>
      <c r="E280" s="804"/>
      <c r="F280" s="804"/>
      <c r="G280" s="1177"/>
      <c r="H280" s="804"/>
      <c r="I280" s="1177"/>
      <c r="J280" s="807"/>
      <c r="K280" s="1177"/>
      <c r="L280" s="807"/>
      <c r="M280" s="1177"/>
      <c r="N280" s="807"/>
      <c r="O280" s="1177"/>
      <c r="P280" s="777"/>
    </row>
    <row r="281" spans="2:16" s="768" customFormat="1" ht="15.75">
      <c r="B281" s="808" t="s">
        <v>266</v>
      </c>
      <c r="C281" s="344" t="s">
        <v>1440</v>
      </c>
      <c r="D281" s="803"/>
      <c r="E281" s="804"/>
      <c r="F281" s="804"/>
      <c r="G281" s="1177"/>
      <c r="H281" s="804"/>
      <c r="I281" s="809"/>
      <c r="J281" s="810"/>
      <c r="K281" s="809"/>
      <c r="L281" s="809"/>
      <c r="M281" s="346"/>
      <c r="N281" s="346"/>
      <c r="O281" s="809"/>
      <c r="P281" s="773"/>
    </row>
    <row r="282" spans="2:16" s="768" customFormat="1" ht="15.75">
      <c r="B282" s="811"/>
      <c r="C282" s="809" t="s">
        <v>1321</v>
      </c>
      <c r="D282" s="266"/>
      <c r="E282" s="804"/>
      <c r="F282" s="804"/>
      <c r="G282" s="809"/>
      <c r="H282" s="804"/>
      <c r="I282" s="809"/>
      <c r="J282" s="810"/>
      <c r="K282" s="809"/>
      <c r="L282" s="809"/>
      <c r="M282" s="346"/>
      <c r="N282" s="346"/>
      <c r="O282" s="809"/>
      <c r="P282" s="346"/>
    </row>
    <row r="283" spans="2:16" s="768" customFormat="1" ht="15.75">
      <c r="B283" s="812" t="s">
        <v>254</v>
      </c>
      <c r="C283" s="683" t="s">
        <v>1322</v>
      </c>
      <c r="D283" s="266"/>
      <c r="E283" s="266"/>
      <c r="F283" s="266"/>
      <c r="G283" s="809"/>
      <c r="H283" s="1178"/>
      <c r="I283" s="344"/>
      <c r="J283" s="345"/>
      <c r="K283" s="344"/>
      <c r="L283" s="1178"/>
      <c r="M283" s="1651"/>
      <c r="N283" s="346"/>
      <c r="O283" s="344"/>
      <c r="P283" s="1189"/>
    </row>
    <row r="284" spans="2:16" s="768" customFormat="1" ht="15.75">
      <c r="B284" s="812" t="s">
        <v>1508</v>
      </c>
      <c r="C284" s="683" t="s">
        <v>1477</v>
      </c>
      <c r="D284" s="346"/>
      <c r="E284" s="344"/>
      <c r="F284" s="344"/>
      <c r="G284" s="814"/>
      <c r="H284" s="814"/>
      <c r="I284" s="814"/>
      <c r="J284" s="814"/>
      <c r="K284" s="814"/>
      <c r="L284" s="814"/>
      <c r="M284" s="346"/>
      <c r="N284" s="346"/>
      <c r="O284" s="346"/>
      <c r="P284" s="804"/>
    </row>
    <row r="285" spans="2:16" s="768" customFormat="1" ht="15.75">
      <c r="B285" s="344"/>
      <c r="C285" s="344"/>
      <c r="D285" s="346"/>
      <c r="E285" s="344"/>
      <c r="F285" s="344"/>
      <c r="G285" s="814"/>
      <c r="H285" s="814"/>
      <c r="I285" s="814"/>
      <c r="J285" s="814"/>
      <c r="K285" s="814"/>
      <c r="L285" s="814"/>
      <c r="M285" s="346"/>
      <c r="N285" s="346"/>
      <c r="O285" s="346"/>
      <c r="P285" s="804"/>
    </row>
    <row r="286" spans="2:16" s="768" customFormat="1" ht="15.75">
      <c r="B286" s="808"/>
      <c r="C286" s="804"/>
      <c r="D286" s="346"/>
      <c r="E286" s="344"/>
      <c r="F286" s="344"/>
      <c r="G286" s="814"/>
      <c r="H286" s="804"/>
      <c r="I286" s="804"/>
      <c r="J286" s="804"/>
      <c r="K286" s="804"/>
      <c r="L286" s="346"/>
      <c r="M286" s="346"/>
      <c r="N286" s="346"/>
      <c r="O286" s="346"/>
      <c r="P286" s="813"/>
    </row>
    <row r="287" spans="2:16" s="768" customFormat="1" ht="15.75">
      <c r="B287" s="815"/>
      <c r="C287" s="804"/>
      <c r="D287" s="346"/>
      <c r="E287" s="344"/>
      <c r="F287" s="344"/>
      <c r="G287" s="804"/>
      <c r="H287" s="804"/>
      <c r="I287" s="804"/>
      <c r="J287" s="804"/>
      <c r="K287" s="804"/>
      <c r="L287" s="346"/>
      <c r="M287" s="346"/>
      <c r="N287" s="346"/>
      <c r="O287" s="346"/>
      <c r="P287" s="813"/>
    </row>
    <row r="288" spans="2:16" s="768" customFormat="1" ht="15.75">
      <c r="B288" s="815"/>
      <c r="C288" s="804"/>
      <c r="D288" s="346"/>
      <c r="E288" s="344"/>
      <c r="F288" s="344"/>
      <c r="G288" s="804"/>
      <c r="H288" s="804"/>
      <c r="I288" s="804"/>
      <c r="J288" s="804"/>
      <c r="K288" s="804"/>
      <c r="L288" s="346"/>
      <c r="M288" s="266"/>
      <c r="N288" s="266"/>
      <c r="O288" s="266"/>
      <c r="P288" s="813"/>
    </row>
    <row r="289" spans="2:31" s="768" customFormat="1" ht="15.75">
      <c r="B289" s="813"/>
      <c r="C289" s="804"/>
      <c r="D289" s="346"/>
      <c r="E289"/>
      <c r="F289" s="804"/>
      <c r="G289" s="804"/>
      <c r="H289" s="804"/>
      <c r="I289" s="804"/>
      <c r="J289" s="804"/>
      <c r="K289" s="804"/>
      <c r="L289" s="266"/>
      <c r="M289" s="266"/>
      <c r="N289" s="266"/>
      <c r="O289" s="266"/>
      <c r="P289" s="813"/>
    </row>
    <row r="290" spans="2:31" s="768" customFormat="1" ht="15.75">
      <c r="B290" s="813"/>
      <c r="C290" s="804"/>
      <c r="D290" s="346"/>
      <c r="E290"/>
      <c r="F290" s="804"/>
      <c r="G290" s="804"/>
      <c r="H290" s="804"/>
      <c r="I290" s="804"/>
      <c r="J290" s="804"/>
      <c r="K290" s="804"/>
      <c r="L290" s="804"/>
      <c r="M290" s="804"/>
      <c r="N290" s="804"/>
      <c r="O290" s="804"/>
      <c r="P290" s="813"/>
    </row>
    <row r="291" spans="2:31" ht="15.75">
      <c r="B291" s="813"/>
      <c r="C291" s="804"/>
      <c r="D291" s="346"/>
      <c r="E291"/>
      <c r="F291" s="804"/>
      <c r="G291" s="804"/>
      <c r="H291" s="804"/>
      <c r="I291" s="804"/>
      <c r="J291" s="804"/>
      <c r="K291" s="804"/>
      <c r="L291" s="266"/>
      <c r="M291" s="266"/>
      <c r="N291" s="266"/>
      <c r="O291" s="266"/>
      <c r="P291" s="813"/>
      <c r="Q291" s="1093"/>
      <c r="R291" s="1093"/>
      <c r="S291" s="1093"/>
      <c r="T291" s="1093"/>
      <c r="U291" s="1093"/>
      <c r="V291" s="1093"/>
      <c r="W291" s="1093"/>
      <c r="X291" s="1093"/>
      <c r="Y291" s="1093"/>
      <c r="Z291" s="1093"/>
      <c r="AA291" s="1093"/>
      <c r="AB291" s="1093"/>
      <c r="AC291" s="1093"/>
      <c r="AD291" s="1093"/>
      <c r="AE291" s="1093"/>
    </row>
    <row r="292" spans="2:31" ht="15.75">
      <c r="B292" s="1093"/>
      <c r="C292" s="1093"/>
      <c r="D292" s="1093"/>
      <c r="E292" s="1093"/>
      <c r="G292" s="804"/>
      <c r="H292" s="1093"/>
      <c r="I292" s="1093"/>
      <c r="J292" s="1093"/>
      <c r="K292" s="1093"/>
      <c r="L292" s="1093"/>
      <c r="M292" s="1093"/>
      <c r="N292" s="1093"/>
      <c r="O292" s="1093"/>
      <c r="P292" s="1093"/>
      <c r="Q292" s="1093"/>
      <c r="R292" s="1093"/>
      <c r="S292" s="1093"/>
      <c r="T292" s="1093"/>
      <c r="U292" s="1093"/>
      <c r="V292" s="1093"/>
      <c r="W292" s="1093"/>
      <c r="X292" s="1093"/>
      <c r="Y292" s="1093"/>
      <c r="Z292" s="1093"/>
      <c r="AA292" s="1093"/>
      <c r="AB292" s="1093"/>
      <c r="AC292" s="1093"/>
      <c r="AD292" s="1093"/>
      <c r="AE292" s="1093"/>
    </row>
    <row r="297" spans="2:31" ht="15.75">
      <c r="B297" s="1093"/>
      <c r="C297" s="433"/>
      <c r="D297" s="433"/>
      <c r="E297" s="433"/>
      <c r="F297" s="757"/>
      <c r="G297" s="1093"/>
      <c r="H297" s="817"/>
      <c r="I297" s="817"/>
      <c r="J297" s="817"/>
      <c r="K297" s="817"/>
      <c r="L297" s="817"/>
      <c r="M297" s="1093"/>
      <c r="N297" s="1093"/>
      <c r="O297" s="1093"/>
      <c r="P297" s="1093"/>
      <c r="Q297" s="1093"/>
      <c r="R297" s="1093"/>
      <c r="S297" s="1093"/>
      <c r="T297" s="1093"/>
      <c r="U297" s="1093"/>
      <c r="V297" s="1093"/>
      <c r="W297" s="1093"/>
      <c r="X297" s="1093"/>
      <c r="Y297" s="1093"/>
      <c r="Z297" s="1093"/>
      <c r="AA297" s="1093"/>
      <c r="AB297" s="1093"/>
      <c r="AC297" s="1093"/>
      <c r="AD297" s="1093"/>
      <c r="AE297" s="1093"/>
    </row>
    <row r="298" spans="2:31" ht="15.75">
      <c r="B298" s="1093"/>
      <c r="C298" s="433"/>
      <c r="D298" s="433"/>
      <c r="E298" s="433"/>
      <c r="F298" s="757"/>
      <c r="G298" s="817"/>
      <c r="H298" s="817"/>
      <c r="I298" s="817"/>
      <c r="J298" s="817"/>
      <c r="K298" s="817"/>
      <c r="L298" s="817"/>
      <c r="M298" s="1093"/>
      <c r="N298" s="1093"/>
      <c r="O298" s="1093"/>
      <c r="P298" s="1093"/>
      <c r="Q298" s="1093"/>
      <c r="R298" s="1093"/>
      <c r="S298" s="1093"/>
      <c r="T298" s="1093"/>
      <c r="U298" s="1093"/>
      <c r="V298" s="1093"/>
      <c r="W298" s="1093"/>
      <c r="X298" s="1093"/>
      <c r="Y298" s="1093"/>
      <c r="Z298" s="1093"/>
      <c r="AA298" s="1093"/>
      <c r="AB298" s="1093"/>
      <c r="AC298" s="1093"/>
      <c r="AD298" s="1093"/>
      <c r="AE298" s="1093"/>
    </row>
    <row r="299" spans="2:31" ht="15.75">
      <c r="B299" s="1093"/>
      <c r="C299" s="433"/>
      <c r="D299" s="433"/>
      <c r="E299" s="433"/>
      <c r="F299" s="757"/>
      <c r="G299" s="817"/>
      <c r="H299" s="817"/>
      <c r="I299" s="817"/>
      <c r="J299" s="817"/>
      <c r="K299" s="817"/>
      <c r="L299" s="817"/>
      <c r="M299" s="1093"/>
      <c r="N299" s="1093"/>
      <c r="O299" s="1093"/>
      <c r="P299" s="1093"/>
      <c r="Q299" s="1093"/>
      <c r="R299" s="1093"/>
      <c r="S299" s="1093"/>
      <c r="T299" s="1093"/>
      <c r="U299" s="1093"/>
      <c r="V299" s="1093"/>
      <c r="W299" s="1093"/>
      <c r="X299" s="1093"/>
      <c r="Y299" s="1093"/>
      <c r="Z299" s="1093"/>
      <c r="AA299" s="1093"/>
      <c r="AB299" s="1093"/>
      <c r="AC299" s="1093"/>
      <c r="AD299" s="1093"/>
      <c r="AE299" s="1093"/>
    </row>
    <row r="300" spans="2:31" ht="15.75">
      <c r="B300" s="1093"/>
      <c r="C300" s="433"/>
      <c r="D300" s="433"/>
      <c r="E300" s="433"/>
      <c r="F300" s="757"/>
      <c r="G300" s="817"/>
      <c r="H300" s="817"/>
      <c r="I300" s="817"/>
      <c r="J300" s="817"/>
      <c r="K300" s="817"/>
      <c r="L300" s="817"/>
      <c r="M300" s="1093"/>
      <c r="N300" s="1093"/>
      <c r="O300" s="1093"/>
      <c r="P300" s="1093"/>
      <c r="Q300" s="1093"/>
      <c r="R300" s="1093"/>
      <c r="S300" s="1093"/>
      <c r="T300" s="1093"/>
      <c r="U300" s="1093"/>
      <c r="V300" s="1093"/>
      <c r="W300" s="1093"/>
      <c r="X300" s="1093"/>
      <c r="Y300" s="1093"/>
      <c r="Z300" s="1093"/>
      <c r="AA300" s="1093"/>
      <c r="AB300" s="1093"/>
      <c r="AC300" s="1093"/>
      <c r="AD300" s="1093"/>
      <c r="AE300" s="1093"/>
    </row>
    <row r="301" spans="2:31" ht="15.75">
      <c r="B301" s="1093"/>
      <c r="C301" s="433"/>
      <c r="D301" s="433"/>
      <c r="E301" s="433"/>
      <c r="F301" s="757"/>
      <c r="G301" s="817"/>
      <c r="H301" s="817"/>
      <c r="I301" s="817"/>
      <c r="J301" s="817"/>
      <c r="K301" s="817"/>
      <c r="L301" s="817"/>
      <c r="M301" s="1093"/>
      <c r="N301" s="1093"/>
      <c r="O301" s="1093"/>
      <c r="P301" s="1093"/>
      <c r="Q301" s="1093"/>
      <c r="R301" s="1093"/>
      <c r="S301" s="1093"/>
      <c r="T301" s="1093"/>
      <c r="U301" s="1093"/>
      <c r="V301" s="1093"/>
      <c r="W301" s="1093"/>
      <c r="X301" s="1093"/>
      <c r="Y301" s="1093"/>
      <c r="Z301" s="1093"/>
      <c r="AA301" s="1093"/>
      <c r="AB301" s="1093"/>
      <c r="AC301" s="1093"/>
      <c r="AD301" s="1093"/>
      <c r="AE301" s="1093"/>
    </row>
    <row r="302" spans="2:31">
      <c r="B302" s="1093"/>
      <c r="C302" s="1093"/>
      <c r="D302" s="1093"/>
      <c r="E302" s="1093"/>
      <c r="G302" s="817"/>
      <c r="H302" s="1093"/>
      <c r="I302" s="1093"/>
      <c r="J302" s="1093"/>
      <c r="K302" s="1093"/>
      <c r="L302" s="1093"/>
      <c r="M302" s="1093"/>
      <c r="N302" s="1093"/>
      <c r="O302" s="1093"/>
      <c r="P302" s="1093"/>
      <c r="Q302" s="1093"/>
      <c r="R302" s="1093"/>
      <c r="S302" s="1093"/>
      <c r="T302" s="1093"/>
      <c r="U302" s="1093"/>
      <c r="V302" s="1093"/>
      <c r="W302" s="1093"/>
      <c r="X302" s="1093"/>
      <c r="Y302" s="1093"/>
      <c r="Z302" s="1093"/>
      <c r="AA302" s="1093"/>
      <c r="AB302" s="1093"/>
      <c r="AC302" s="1093"/>
      <c r="AD302" s="1093"/>
      <c r="AE302" s="1093"/>
    </row>
  </sheetData>
  <customSheetViews>
    <customSheetView guid="{83D69B98-1714-4D17-901F-87B47BE66947}" scale="90" showPageBreaks="1" showGridLines="0" fitToPage="1" printArea="1" topLeftCell="A63">
      <selection activeCell="D89" sqref="D89"/>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5" firstPageNumber="52" fitToHeight="4"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185">
      <selection activeCell="O196" sqref="O196:O204"/>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5"/>
      <headerFooter scaleWithDoc="0" alignWithMargins="0">
        <oddFooter>&amp;C&amp;8&amp;P</oddFooter>
      </headerFooter>
    </customSheetView>
    <customSheetView guid="{D1467C25-646C-4F1A-9353-0E890E575522}" scale="90" showPageBreaks="1" showGridLines="0" fitToPage="1" printArea="1">
      <selection activeCell="Q272" sqref="Q272"/>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6"/>
      <headerFooter scaleWithDoc="0" alignWithMargins="0">
        <oddFooter>&amp;C&amp;8&amp;P</oddFooter>
      </headerFooter>
    </customSheetView>
    <customSheetView guid="{3A50DD26-AAF5-43D4-97DE-BAE3367A2F29}" scale="90" showPageBreaks="1" showGridLines="0" fitToPage="1" printArea="1" topLeftCell="D1">
      <selection activeCell="Q272" sqref="Q272"/>
      <rowBreaks count="3" manualBreakCount="3">
        <brk id="95" max="16383" man="1"/>
        <brk id="173" max="16383" man="1"/>
        <brk id="246" max="16383" man="1"/>
      </rowBreaks>
      <pageMargins left="0.45" right="0.45" top="0.5" bottom="0.5" header="0.3" footer="0.25"/>
      <printOptions horizontalCentered="1"/>
      <pageSetup scale="42" firstPageNumber="52" fitToHeight="4"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228">
      <selection activeCell="G272" sqref="G272:O272"/>
      <rowBreaks count="3" manualBreakCount="3">
        <brk id="97" max="16383" man="1"/>
        <brk id="178" max="16383" man="1"/>
        <brk id="252" max="16383" man="1"/>
      </rowBreaks>
      <pageMargins left="0.45" right="0.45" top="0.5" bottom="0.5" header="0.3" footer="0.25"/>
      <printOptions horizontalCentered="1"/>
      <pageSetup scale="44" firstPageNumber="52" fitToHeight="4" orientation="landscape" useFirstPageNumber="1" r:id="rId8"/>
      <headerFooter scaleWithDoc="0" alignWithMargins="0">
        <oddFooter>&amp;C&amp;8&amp;P</oddFooter>
      </headerFooter>
    </customSheetView>
  </customSheetViews>
  <printOptions horizontalCentered="1"/>
  <pageMargins left="0.45" right="0.45" top="0.5" bottom="0.5" header="0.3" footer="0.25"/>
  <pageSetup scale="44" firstPageNumber="52" fitToHeight="4" orientation="landscape" useFirstPageNumber="1" r:id="rId9"/>
  <headerFooter scaleWithDoc="0" alignWithMargins="0">
    <oddFooter>&amp;C&amp;8&amp;P</oddFooter>
  </headerFooter>
  <rowBreaks count="3" manualBreakCount="3">
    <brk id="97" max="16383" man="1"/>
    <brk id="178" max="16383" man="1"/>
    <brk id="252" max="16383" man="1"/>
  </rowBreaks>
  <customProperties>
    <customPr name="SheetOptions" r:id="rId10"/>
  </customProperties>
  <ignoredErrors>
    <ignoredError sqref="L11 N11 L216 N216 L222 N222 L269 N269 L272 N272 L12:N13 L105:N106 L200:N201 L212:N213 L217:N218 L223:N224 L270:N27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5" workbookViewId="0"/>
  </sheetViews>
  <sheetFormatPr defaultColWidth="8.88671875" defaultRowHeight="12.75"/>
  <cols>
    <col min="1" max="1" width="54.88671875" style="167" customWidth="1"/>
    <col min="2" max="2" width="15" style="563" bestFit="1" customWidth="1"/>
    <col min="3" max="3" width="1.88671875" style="563" customWidth="1"/>
    <col min="4" max="4" width="15" style="563" bestFit="1" customWidth="1"/>
    <col min="5" max="5" width="1.88671875" style="562" customWidth="1"/>
    <col min="6" max="6" width="13.88671875" style="563" customWidth="1"/>
    <col min="7" max="7" width="1.88671875" style="562" customWidth="1"/>
    <col min="8" max="8" width="13.88671875" style="563" customWidth="1"/>
    <col min="9" max="9" width="1.88671875" style="562" customWidth="1"/>
    <col min="10" max="10" width="13.88671875" style="563" customWidth="1"/>
    <col min="11" max="11" width="1.88671875" style="563" customWidth="1"/>
    <col min="12" max="12" width="13.88671875" style="563" customWidth="1"/>
    <col min="13" max="13" width="1.88671875" style="562" customWidth="1"/>
    <col min="14" max="14" width="13.88671875" style="563" customWidth="1"/>
    <col min="15" max="15" width="1.88671875" style="562" customWidth="1"/>
    <col min="16" max="16" width="13.88671875" style="563" customWidth="1"/>
    <col min="17" max="17" width="1.88671875" style="562" customWidth="1"/>
    <col min="18" max="18" width="13.88671875" style="563" customWidth="1"/>
    <col min="19" max="19" width="1.88671875" style="562" customWidth="1"/>
    <col min="20" max="20" width="13.88671875" style="563" customWidth="1"/>
    <col min="21" max="21" width="1.88671875" style="562" customWidth="1"/>
    <col min="22" max="22" width="13.88671875" style="563" customWidth="1"/>
    <col min="23" max="23" width="1.88671875" style="562" customWidth="1"/>
    <col min="24" max="24" width="13.88671875" style="563" customWidth="1"/>
    <col min="25" max="25" width="1.88671875" style="562" customWidth="1"/>
    <col min="26" max="26" width="18.88671875" style="114" customWidth="1"/>
    <col min="27" max="27" width="1.5546875" style="167" customWidth="1"/>
    <col min="28" max="28" width="18.88671875" style="167" bestFit="1" customWidth="1"/>
    <col min="29" max="29" width="12.88671875" style="167" bestFit="1" customWidth="1"/>
    <col min="30" max="16384" width="8.88671875" style="167"/>
  </cols>
  <sheetData>
    <row r="1" spans="1:33" ht="15">
      <c r="A1" s="386" t="s">
        <v>97</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row>
    <row r="2" spans="1:33" ht="15">
      <c r="A2" s="386"/>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row>
    <row r="3" spans="1:33" ht="24" customHeight="1">
      <c r="A3" s="347" t="s">
        <v>98</v>
      </c>
      <c r="B3" s="164"/>
      <c r="C3" s="164"/>
      <c r="D3" s="165"/>
      <c r="E3" s="166"/>
      <c r="F3" s="165"/>
      <c r="G3" s="166"/>
      <c r="H3" s="165"/>
      <c r="I3" s="166"/>
      <c r="K3" s="164"/>
      <c r="L3" s="113"/>
      <c r="M3" s="164"/>
      <c r="N3" s="165"/>
      <c r="O3" s="166"/>
      <c r="P3" s="165"/>
      <c r="Q3" s="166"/>
      <c r="R3" s="165"/>
      <c r="S3" s="166"/>
      <c r="T3" s="165"/>
      <c r="U3" s="166"/>
      <c r="V3" s="165"/>
      <c r="W3" s="166"/>
      <c r="X3" s="165"/>
      <c r="Y3" s="166"/>
      <c r="Z3" s="343" t="s">
        <v>1323</v>
      </c>
      <c r="AA3" s="164"/>
      <c r="AC3" s="164"/>
      <c r="AE3" s="164"/>
    </row>
    <row r="4" spans="1:33" ht="16.5">
      <c r="A4" s="347" t="s">
        <v>1324</v>
      </c>
      <c r="B4" s="479"/>
      <c r="C4" s="479"/>
      <c r="D4" s="168"/>
      <c r="E4" s="166"/>
      <c r="F4" s="479"/>
      <c r="G4" s="166"/>
      <c r="H4" s="479"/>
      <c r="I4" s="166"/>
      <c r="J4" s="479"/>
      <c r="K4" s="479"/>
      <c r="L4" s="479"/>
      <c r="M4" s="169"/>
      <c r="N4" s="479"/>
      <c r="O4" s="166"/>
      <c r="P4" s="479"/>
      <c r="Q4" s="166"/>
      <c r="R4" s="479"/>
      <c r="S4" s="166"/>
      <c r="T4" s="479"/>
      <c r="U4" s="166"/>
      <c r="V4" s="479"/>
      <c r="W4" s="166"/>
      <c r="X4" s="479"/>
      <c r="Y4" s="166"/>
      <c r="Z4" s="480"/>
      <c r="AA4" s="170"/>
      <c r="AC4" s="164"/>
    </row>
    <row r="5" spans="1:33" ht="16.5">
      <c r="A5" s="348" t="s">
        <v>1325</v>
      </c>
      <c r="B5" s="479"/>
      <c r="C5" s="479"/>
      <c r="D5" s="479"/>
      <c r="E5" s="166"/>
      <c r="F5" s="479"/>
      <c r="G5" s="166"/>
      <c r="H5" s="479"/>
      <c r="I5" s="166"/>
      <c r="J5" s="479"/>
      <c r="K5" s="479"/>
      <c r="L5" s="479"/>
      <c r="M5" s="169"/>
      <c r="N5" s="479"/>
      <c r="O5" s="166"/>
      <c r="P5" s="479"/>
      <c r="Q5" s="166"/>
      <c r="R5" s="479"/>
      <c r="S5" s="166"/>
      <c r="T5" s="479"/>
      <c r="U5" s="166"/>
      <c r="V5" s="479"/>
      <c r="W5" s="166"/>
      <c r="X5" s="479"/>
      <c r="Y5" s="166"/>
      <c r="Z5" s="480"/>
    </row>
    <row r="6" spans="1:33" ht="18" customHeight="1">
      <c r="A6" s="171" t="str">
        <f>'Cashflow Governmental'!A6</f>
        <v>FISCAL YEAR 2026-2027</v>
      </c>
      <c r="B6" s="479"/>
      <c r="C6" s="479"/>
      <c r="D6" s="173"/>
      <c r="E6" s="166"/>
      <c r="F6" s="479"/>
      <c r="G6" s="166"/>
      <c r="H6" s="479"/>
      <c r="I6" s="166"/>
      <c r="J6" s="479"/>
      <c r="K6" s="479"/>
      <c r="L6" s="479"/>
      <c r="M6" s="169"/>
      <c r="N6" s="479"/>
      <c r="O6" s="166"/>
      <c r="P6" s="479"/>
      <c r="Q6" s="166"/>
      <c r="R6" s="479"/>
      <c r="S6" s="166"/>
      <c r="T6" s="479"/>
      <c r="U6" s="166"/>
      <c r="V6" s="479"/>
      <c r="W6" s="166"/>
      <c r="X6" s="479"/>
      <c r="Y6" s="166"/>
      <c r="Z6" s="480"/>
    </row>
    <row r="7" spans="1:33" ht="15" customHeight="1">
      <c r="A7" s="172"/>
      <c r="B7" s="479"/>
      <c r="C7" s="479"/>
      <c r="D7" s="479"/>
      <c r="E7" s="166"/>
      <c r="F7" s="479"/>
      <c r="G7" s="166"/>
      <c r="H7" s="479"/>
      <c r="I7" s="166"/>
      <c r="J7" s="479"/>
      <c r="K7" s="479"/>
      <c r="L7" s="479"/>
      <c r="M7" s="169"/>
      <c r="N7" s="479"/>
      <c r="O7" s="166"/>
      <c r="P7" s="479"/>
      <c r="Q7" s="166"/>
      <c r="R7" s="481"/>
      <c r="S7" s="166"/>
      <c r="T7" s="481"/>
      <c r="U7" s="166"/>
      <c r="V7" s="481"/>
      <c r="W7" s="166"/>
      <c r="X7" s="481"/>
      <c r="Y7" s="166"/>
      <c r="Z7" s="480"/>
    </row>
    <row r="8" spans="1:33" ht="15.75">
      <c r="A8" s="163"/>
      <c r="B8" s="479"/>
      <c r="C8" s="479"/>
      <c r="D8" s="479"/>
      <c r="E8" s="166"/>
      <c r="F8" s="479"/>
      <c r="G8" s="166"/>
      <c r="H8" s="479"/>
      <c r="I8" s="166"/>
      <c r="J8" s="479"/>
      <c r="K8" s="479"/>
      <c r="L8" s="479"/>
      <c r="M8" s="166"/>
      <c r="N8" s="479"/>
      <c r="O8" s="166"/>
      <c r="P8" s="479"/>
      <c r="Q8" s="166"/>
      <c r="R8" s="479"/>
      <c r="S8" s="166"/>
      <c r="T8" s="479"/>
      <c r="U8" s="166"/>
      <c r="V8" s="479"/>
      <c r="W8" s="166"/>
      <c r="X8" s="479"/>
      <c r="Y8" s="166"/>
      <c r="Z8" s="174"/>
      <c r="AA8" s="175"/>
    </row>
    <row r="9" spans="1:33" ht="15" customHeight="1">
      <c r="A9" s="482"/>
      <c r="B9" s="373" t="str">
        <f>'Cashflow Governmental'!C13</f>
        <v>2026</v>
      </c>
      <c r="C9" s="176"/>
      <c r="D9" s="176"/>
      <c r="E9" s="169"/>
      <c r="F9" s="176"/>
      <c r="G9" s="169"/>
      <c r="H9" s="176"/>
      <c r="I9" s="169"/>
      <c r="J9" s="176"/>
      <c r="K9" s="176"/>
      <c r="L9" s="177"/>
      <c r="M9" s="169"/>
      <c r="N9" s="177"/>
      <c r="O9" s="169"/>
      <c r="P9" s="177"/>
      <c r="Q9" s="169"/>
      <c r="R9" s="177"/>
      <c r="S9" s="169"/>
      <c r="T9" s="373">
        <f>'Cashflow Governmental'!U13</f>
        <v>2027</v>
      </c>
      <c r="U9" s="169"/>
      <c r="V9" s="177"/>
      <c r="W9" s="169"/>
      <c r="X9" s="177"/>
      <c r="Y9" s="169"/>
      <c r="Z9" s="177" t="str">
        <f>_xlfn.CONCAT(_xlfn.TEXTBEFORE('Exhibit A'!$F$11," ")," MONTHS ENDED")</f>
        <v>3 MONTHS ENDED</v>
      </c>
      <c r="AA9" s="177"/>
      <c r="AB9" s="1652"/>
    </row>
    <row r="10" spans="1:33" ht="15" customHeight="1">
      <c r="A10" s="482"/>
      <c r="B10" s="178" t="s">
        <v>329</v>
      </c>
      <c r="C10" s="178"/>
      <c r="D10" s="177" t="s">
        <v>330</v>
      </c>
      <c r="E10" s="169"/>
      <c r="F10" s="177" t="s">
        <v>331</v>
      </c>
      <c r="G10" s="169"/>
      <c r="H10" s="177" t="s">
        <v>332</v>
      </c>
      <c r="I10" s="169"/>
      <c r="J10" s="177" t="s">
        <v>333</v>
      </c>
      <c r="K10" s="179"/>
      <c r="L10" s="177" t="s">
        <v>445</v>
      </c>
      <c r="M10" s="169"/>
      <c r="N10" s="177" t="s">
        <v>446</v>
      </c>
      <c r="O10" s="169"/>
      <c r="P10" s="177" t="s">
        <v>336</v>
      </c>
      <c r="Q10" s="169"/>
      <c r="R10" s="177" t="s">
        <v>337</v>
      </c>
      <c r="S10" s="169"/>
      <c r="T10" s="177" t="s">
        <v>338</v>
      </c>
      <c r="U10" s="169"/>
      <c r="V10" s="177" t="s">
        <v>339</v>
      </c>
      <c r="W10" s="169"/>
      <c r="X10" s="177" t="s">
        <v>447</v>
      </c>
      <c r="Y10" s="169"/>
      <c r="Z10" s="180" t="str">
        <f>'Sch 5 '!G12</f>
        <v>JUNE 30, 2026</v>
      </c>
      <c r="AA10" s="180"/>
      <c r="AB10" s="1652"/>
    </row>
    <row r="11" spans="1:33" ht="15" customHeight="1">
      <c r="A11" s="482"/>
      <c r="B11" s="612" t="s">
        <v>103</v>
      </c>
      <c r="C11" s="483"/>
      <c r="D11" s="612" t="s">
        <v>103</v>
      </c>
      <c r="E11" s="484"/>
      <c r="F11" s="612" t="s">
        <v>103</v>
      </c>
      <c r="G11" s="484"/>
      <c r="H11" s="612" t="s">
        <v>103</v>
      </c>
      <c r="I11" s="484"/>
      <c r="J11" s="612" t="s">
        <v>103</v>
      </c>
      <c r="K11" s="179"/>
      <c r="L11" s="612" t="s">
        <v>103</v>
      </c>
      <c r="M11" s="484"/>
      <c r="N11" s="612" t="s">
        <v>103</v>
      </c>
      <c r="O11" s="484"/>
      <c r="P11" s="612" t="s">
        <v>103</v>
      </c>
      <c r="Q11" s="484"/>
      <c r="R11" s="612" t="s">
        <v>103</v>
      </c>
      <c r="S11" s="484"/>
      <c r="T11" s="612" t="s">
        <v>103</v>
      </c>
      <c r="U11" s="484"/>
      <c r="V11" s="612" t="s">
        <v>103</v>
      </c>
      <c r="W11" s="484"/>
      <c r="X11" s="612" t="s">
        <v>103</v>
      </c>
      <c r="Y11" s="484"/>
      <c r="Z11" s="1276" t="s">
        <v>103</v>
      </c>
    </row>
    <row r="12" spans="1:33" s="182" customFormat="1" ht="15" customHeight="1">
      <c r="A12" s="185" t="s">
        <v>914</v>
      </c>
      <c r="B12" s="181">
        <v>108964727</v>
      </c>
      <c r="C12" s="181"/>
      <c r="D12" s="181">
        <f>B44</f>
        <v>101980905</v>
      </c>
      <c r="E12" s="485"/>
      <c r="F12" s="181">
        <f>D44</f>
        <v>99631254</v>
      </c>
      <c r="G12" s="485"/>
      <c r="H12" s="181"/>
      <c r="I12" s="485"/>
      <c r="J12" s="181"/>
      <c r="K12" s="181"/>
      <c r="L12" s="181"/>
      <c r="M12" s="179"/>
      <c r="N12" s="181"/>
      <c r="O12" s="181"/>
      <c r="P12" s="181"/>
      <c r="Q12" s="181"/>
      <c r="R12" s="181"/>
      <c r="S12" s="181"/>
      <c r="T12" s="181"/>
      <c r="U12" s="181"/>
      <c r="V12" s="181"/>
      <c r="W12" s="181"/>
      <c r="X12" s="181"/>
      <c r="Y12" s="181"/>
      <c r="Z12" s="181">
        <f>+B12</f>
        <v>108964727</v>
      </c>
    </row>
    <row r="13" spans="1:33" ht="15" customHeight="1">
      <c r="A13" s="486"/>
      <c r="B13" s="487"/>
      <c r="C13" s="487"/>
      <c r="D13" s="487"/>
      <c r="E13" s="487"/>
      <c r="F13" s="487"/>
      <c r="G13" s="487"/>
      <c r="H13" s="487"/>
      <c r="I13" s="487"/>
      <c r="J13" s="487"/>
      <c r="K13" s="179"/>
      <c r="L13" s="487"/>
      <c r="M13" s="487"/>
      <c r="N13" s="487"/>
      <c r="O13" s="487"/>
      <c r="P13" s="487"/>
      <c r="Q13" s="487"/>
      <c r="R13" s="487"/>
      <c r="S13" s="487"/>
      <c r="T13" s="487"/>
      <c r="U13" s="487"/>
      <c r="V13" s="487"/>
      <c r="W13" s="487"/>
      <c r="X13" s="487"/>
      <c r="Y13" s="487"/>
      <c r="Z13" s="488"/>
    </row>
    <row r="14" spans="1:33" ht="15" customHeight="1">
      <c r="A14" s="183" t="s">
        <v>114</v>
      </c>
      <c r="B14" s="487"/>
      <c r="C14" s="487"/>
      <c r="D14" s="487"/>
      <c r="E14" s="487"/>
      <c r="F14" s="487"/>
      <c r="G14" s="487"/>
      <c r="H14" s="487"/>
      <c r="I14" s="487"/>
      <c r="J14" s="487"/>
      <c r="K14" s="487"/>
      <c r="L14" s="487"/>
      <c r="M14" s="487"/>
      <c r="N14" s="487"/>
      <c r="O14" s="487"/>
      <c r="P14" s="487"/>
      <c r="Q14" s="487"/>
      <c r="R14" s="487"/>
      <c r="S14" s="487"/>
      <c r="T14" s="487"/>
      <c r="U14" s="487"/>
      <c r="V14" s="487"/>
      <c r="W14" s="487"/>
      <c r="X14" s="487"/>
      <c r="Y14" s="487"/>
      <c r="Z14" s="488"/>
      <c r="AC14" s="613"/>
    </row>
    <row r="15" spans="1:33" ht="15" customHeight="1">
      <c r="A15" s="349" t="s">
        <v>1326</v>
      </c>
      <c r="B15" s="489">
        <v>0</v>
      </c>
      <c r="C15" s="489"/>
      <c r="D15" s="489">
        <v>0</v>
      </c>
      <c r="E15" s="489"/>
      <c r="F15" s="489">
        <v>0</v>
      </c>
      <c r="G15" s="489"/>
      <c r="H15" s="489"/>
      <c r="I15" s="489"/>
      <c r="J15" s="613"/>
      <c r="K15" s="489"/>
      <c r="L15" s="489"/>
      <c r="M15" s="487"/>
      <c r="N15" s="489"/>
      <c r="O15" s="489"/>
      <c r="P15" s="489"/>
      <c r="Q15" s="489"/>
      <c r="R15" s="489"/>
      <c r="S15" s="489"/>
      <c r="T15" s="489"/>
      <c r="U15" s="489"/>
      <c r="V15" s="489"/>
      <c r="W15" s="489"/>
      <c r="X15" s="489"/>
      <c r="Y15" s="489"/>
      <c r="Z15" s="490">
        <f>SUM(B15:X15)</f>
        <v>0</v>
      </c>
    </row>
    <row r="16" spans="1:33" ht="15" customHeight="1">
      <c r="A16" s="349" t="s">
        <v>1327</v>
      </c>
      <c r="B16" s="489">
        <v>0</v>
      </c>
      <c r="C16" s="489"/>
      <c r="D16" s="489">
        <v>0</v>
      </c>
      <c r="E16" s="489"/>
      <c r="F16" s="489">
        <v>0</v>
      </c>
      <c r="G16" s="489"/>
      <c r="H16" s="1255"/>
      <c r="I16" s="489"/>
      <c r="J16" s="613"/>
      <c r="K16" s="489"/>
      <c r="L16" s="489"/>
      <c r="M16" s="487"/>
      <c r="N16" s="489"/>
      <c r="O16" s="489"/>
      <c r="P16" s="489"/>
      <c r="Q16" s="489"/>
      <c r="R16" s="489"/>
      <c r="S16" s="489"/>
      <c r="T16" s="489"/>
      <c r="U16" s="489"/>
      <c r="V16" s="489"/>
      <c r="W16" s="489"/>
      <c r="X16" s="489"/>
      <c r="Y16" s="489"/>
      <c r="Z16" s="490">
        <f>SUM(B16:X16)</f>
        <v>0</v>
      </c>
    </row>
    <row r="17" spans="1:28" s="182" customFormat="1" ht="22.5" customHeight="1">
      <c r="A17" s="183" t="s">
        <v>427</v>
      </c>
      <c r="B17" s="593">
        <f>ROUND(SUM(B15:B16),0)</f>
        <v>0</v>
      </c>
      <c r="C17" s="184"/>
      <c r="D17" s="593">
        <f>ROUND(SUM(D15:D16),0)</f>
        <v>0</v>
      </c>
      <c r="E17" s="184"/>
      <c r="F17" s="593">
        <f>ROUND(SUM(F15:F16),0)</f>
        <v>0</v>
      </c>
      <c r="G17" s="184"/>
      <c r="H17" s="1256">
        <f>SUM(H15:H16)</f>
        <v>0</v>
      </c>
      <c r="I17" s="184"/>
      <c r="J17" s="593">
        <f>ROUND(SUM(J15:J16),0)</f>
        <v>0</v>
      </c>
      <c r="K17" s="184"/>
      <c r="L17" s="593">
        <f>ROUND(SUM(L15:L16),0)</f>
        <v>0</v>
      </c>
      <c r="M17" s="179"/>
      <c r="N17" s="593">
        <f>ROUND(SUM(N15:N16),0)</f>
        <v>0</v>
      </c>
      <c r="O17" s="184"/>
      <c r="P17" s="593">
        <f>ROUND(SUM(P15:P16),0)</f>
        <v>0</v>
      </c>
      <c r="Q17" s="184"/>
      <c r="R17" s="593">
        <f>ROUND(SUM(R15:R16),0)</f>
        <v>0</v>
      </c>
      <c r="S17" s="184"/>
      <c r="T17" s="593">
        <f>ROUND(SUM(T15:T16),0)</f>
        <v>0</v>
      </c>
      <c r="U17" s="184"/>
      <c r="V17" s="593">
        <f>ROUND(SUM(V15:V16),0)</f>
        <v>0</v>
      </c>
      <c r="W17" s="184"/>
      <c r="X17" s="593">
        <f>ROUND(SUM(X15:X16),0)</f>
        <v>0</v>
      </c>
      <c r="Y17" s="184"/>
      <c r="Z17" s="593">
        <f>ROUND(SUM(Z15:Z16),0)</f>
        <v>0</v>
      </c>
      <c r="AB17" s="115"/>
    </row>
    <row r="18" spans="1:28" ht="15" customHeight="1">
      <c r="A18" s="486"/>
      <c r="B18" s="489"/>
      <c r="C18" s="489"/>
      <c r="D18" s="489"/>
      <c r="E18" s="489"/>
      <c r="F18" s="489"/>
      <c r="G18" s="489"/>
      <c r="H18" s="489"/>
      <c r="I18" s="489"/>
      <c r="J18" s="489"/>
      <c r="K18" s="489"/>
      <c r="L18" s="489"/>
      <c r="M18" s="487"/>
      <c r="N18" s="489"/>
      <c r="O18" s="489"/>
      <c r="P18" s="489"/>
      <c r="Q18" s="489"/>
      <c r="R18" s="489"/>
      <c r="S18" s="489"/>
      <c r="T18" s="489"/>
      <c r="U18" s="489"/>
      <c r="V18" s="489"/>
      <c r="W18" s="489"/>
      <c r="X18" s="489"/>
      <c r="Y18" s="489"/>
      <c r="Z18" s="492"/>
    </row>
    <row r="19" spans="1:28" ht="15" customHeight="1">
      <c r="A19" s="183" t="s">
        <v>122</v>
      </c>
      <c r="B19" s="489"/>
      <c r="C19" s="489"/>
      <c r="D19" s="489"/>
      <c r="E19" s="489"/>
      <c r="F19" s="489"/>
      <c r="G19" s="489"/>
      <c r="H19" s="489"/>
      <c r="I19" s="489"/>
      <c r="J19" s="489"/>
      <c r="K19" s="489"/>
      <c r="L19" s="489"/>
      <c r="M19" s="487"/>
      <c r="N19" s="489"/>
      <c r="O19" s="489"/>
      <c r="P19" s="489"/>
      <c r="Q19" s="489"/>
      <c r="R19" s="489"/>
      <c r="S19" s="489"/>
      <c r="T19" s="489"/>
      <c r="U19" s="489"/>
      <c r="V19" s="489"/>
      <c r="W19" s="489"/>
      <c r="X19" s="489"/>
      <c r="Y19" s="489"/>
      <c r="Z19" s="490"/>
    </row>
    <row r="20" spans="1:28" ht="15" customHeight="1">
      <c r="A20" s="349" t="s">
        <v>1328</v>
      </c>
      <c r="B20" s="489">
        <v>0</v>
      </c>
      <c r="C20" s="489"/>
      <c r="D20" s="489">
        <v>0</v>
      </c>
      <c r="E20" s="489"/>
      <c r="F20" s="489">
        <v>0</v>
      </c>
      <c r="G20" s="489"/>
      <c r="H20" s="489"/>
      <c r="I20" s="489"/>
      <c r="J20" s="489"/>
      <c r="K20" s="489"/>
      <c r="L20" s="489"/>
      <c r="M20" s="487"/>
      <c r="N20" s="489"/>
      <c r="O20" s="489"/>
      <c r="P20" s="489"/>
      <c r="Q20" s="489"/>
      <c r="R20" s="489"/>
      <c r="S20" s="489"/>
      <c r="T20" s="489"/>
      <c r="U20" s="489"/>
      <c r="V20" s="489"/>
      <c r="W20" s="489"/>
      <c r="X20" s="489"/>
      <c r="Y20" s="489"/>
      <c r="Z20" s="490">
        <f>ROUND(SUM(B20:X20),0)</f>
        <v>0</v>
      </c>
    </row>
    <row r="21" spans="1:28" ht="15" customHeight="1">
      <c r="A21" s="349" t="s">
        <v>1329</v>
      </c>
      <c r="B21" s="489">
        <v>0</v>
      </c>
      <c r="C21" s="489"/>
      <c r="D21" s="489">
        <v>0</v>
      </c>
      <c r="E21" s="489"/>
      <c r="F21" s="489">
        <v>0</v>
      </c>
      <c r="G21" s="489"/>
      <c r="H21" s="489"/>
      <c r="I21" s="489"/>
      <c r="J21" s="489"/>
      <c r="K21" s="489"/>
      <c r="L21" s="489"/>
      <c r="M21" s="487"/>
      <c r="N21" s="489"/>
      <c r="O21" s="489"/>
      <c r="P21" s="489"/>
      <c r="Q21" s="489"/>
      <c r="R21" s="489"/>
      <c r="S21" s="489"/>
      <c r="T21" s="489"/>
      <c r="U21" s="489"/>
      <c r="V21" s="489"/>
      <c r="W21" s="489"/>
      <c r="X21" s="489"/>
      <c r="Y21" s="489"/>
      <c r="Z21" s="948">
        <f>ROUND(SUM(B21:X21),0)</f>
        <v>0</v>
      </c>
    </row>
    <row r="22" spans="1:28" ht="15" customHeight="1">
      <c r="A22" s="349" t="s">
        <v>1330</v>
      </c>
      <c r="B22" s="489">
        <v>228741</v>
      </c>
      <c r="C22" s="489"/>
      <c r="D22" s="489">
        <v>0</v>
      </c>
      <c r="E22" s="489"/>
      <c r="F22" s="489">
        <v>1937938</v>
      </c>
      <c r="G22" s="489"/>
      <c r="H22" s="489"/>
      <c r="I22" s="489"/>
      <c r="J22" s="489"/>
      <c r="K22" s="489"/>
      <c r="L22" s="489"/>
      <c r="M22" s="487"/>
      <c r="N22" s="489"/>
      <c r="O22" s="489"/>
      <c r="P22" s="489"/>
      <c r="Q22" s="489"/>
      <c r="R22" s="489"/>
      <c r="S22" s="489"/>
      <c r="T22" s="489"/>
      <c r="U22" s="489"/>
      <c r="V22" s="489"/>
      <c r="W22" s="489"/>
      <c r="X22" s="489"/>
      <c r="Y22" s="489"/>
      <c r="Z22" s="948">
        <f>ROUND(SUM(B22:X22),0)</f>
        <v>2166679</v>
      </c>
      <c r="AB22" s="872"/>
    </row>
    <row r="23" spans="1:28" ht="15" customHeight="1">
      <c r="A23" s="349" t="s">
        <v>1463</v>
      </c>
      <c r="B23" s="489">
        <v>0</v>
      </c>
      <c r="C23" s="489"/>
      <c r="D23" s="489">
        <v>0</v>
      </c>
      <c r="E23" s="489"/>
      <c r="F23" s="489">
        <v>0</v>
      </c>
      <c r="G23" s="489"/>
      <c r="H23" s="489"/>
      <c r="I23" s="489"/>
      <c r="J23" s="489"/>
      <c r="K23" s="489"/>
      <c r="L23" s="489"/>
      <c r="M23" s="487"/>
      <c r="N23" s="489"/>
      <c r="O23" s="489"/>
      <c r="P23" s="489"/>
      <c r="Q23" s="489"/>
      <c r="R23" s="489"/>
      <c r="S23" s="489"/>
      <c r="T23" s="489"/>
      <c r="U23" s="489"/>
      <c r="V23" s="489"/>
      <c r="W23" s="489"/>
      <c r="X23" s="489"/>
      <c r="Y23" s="489"/>
      <c r="Z23" s="948">
        <f t="shared" ref="Z23:Z25" si="0">ROUND(SUM(B23:X23),0)</f>
        <v>0</v>
      </c>
      <c r="AB23" s="872"/>
    </row>
    <row r="24" spans="1:28" ht="15" customHeight="1">
      <c r="A24" s="349" t="s">
        <v>1331</v>
      </c>
      <c r="B24" s="489">
        <v>0</v>
      </c>
      <c r="C24" s="489"/>
      <c r="D24" s="489">
        <v>0</v>
      </c>
      <c r="E24" s="489"/>
      <c r="F24" s="489">
        <v>0</v>
      </c>
      <c r="G24" s="489"/>
      <c r="H24" s="489"/>
      <c r="I24" s="489"/>
      <c r="J24" s="489"/>
      <c r="K24" s="489"/>
      <c r="L24" s="489"/>
      <c r="M24" s="487"/>
      <c r="N24" s="489"/>
      <c r="O24" s="489"/>
      <c r="P24" s="489"/>
      <c r="Q24" s="489"/>
      <c r="R24" s="489"/>
      <c r="S24" s="489"/>
      <c r="T24" s="489"/>
      <c r="U24" s="489"/>
      <c r="V24" s="489"/>
      <c r="W24" s="489"/>
      <c r="X24" s="489"/>
      <c r="Y24" s="489"/>
      <c r="Z24" s="948">
        <f t="shared" si="0"/>
        <v>0</v>
      </c>
    </row>
    <row r="25" spans="1:28" ht="15" customHeight="1">
      <c r="A25" s="349" t="s">
        <v>1332</v>
      </c>
      <c r="B25" s="489">
        <v>0</v>
      </c>
      <c r="C25" s="489"/>
      <c r="D25" s="489">
        <v>0</v>
      </c>
      <c r="E25" s="489"/>
      <c r="F25" s="489">
        <v>0</v>
      </c>
      <c r="G25" s="489"/>
      <c r="H25" s="489"/>
      <c r="I25" s="489"/>
      <c r="J25" s="489"/>
      <c r="K25" s="489"/>
      <c r="L25" s="489"/>
      <c r="M25" s="487"/>
      <c r="N25" s="489"/>
      <c r="O25" s="489"/>
      <c r="P25" s="489"/>
      <c r="Q25" s="489"/>
      <c r="R25" s="489"/>
      <c r="S25" s="489"/>
      <c r="T25" s="489"/>
      <c r="U25" s="489"/>
      <c r="V25" s="489"/>
      <c r="W25" s="489"/>
      <c r="X25" s="489"/>
      <c r="Y25" s="489"/>
      <c r="Z25" s="948">
        <f t="shared" si="0"/>
        <v>0</v>
      </c>
    </row>
    <row r="26" spans="1:28" ht="15" customHeight="1">
      <c r="A26" s="349" t="s">
        <v>1333</v>
      </c>
      <c r="B26" s="489">
        <v>3840</v>
      </c>
      <c r="C26" s="489"/>
      <c r="D26" s="489">
        <v>8823</v>
      </c>
      <c r="E26" s="489"/>
      <c r="F26" s="489">
        <v>0</v>
      </c>
      <c r="G26" s="489"/>
      <c r="H26" s="489"/>
      <c r="I26" s="489"/>
      <c r="J26" s="489"/>
      <c r="K26" s="489"/>
      <c r="L26" s="489"/>
      <c r="M26" s="487"/>
      <c r="N26" s="489"/>
      <c r="O26" s="489"/>
      <c r="P26" s="489"/>
      <c r="Q26" s="489"/>
      <c r="R26" s="489"/>
      <c r="S26" s="489"/>
      <c r="T26" s="489"/>
      <c r="U26" s="489"/>
      <c r="V26" s="489"/>
      <c r="W26" s="489"/>
      <c r="X26" s="489"/>
      <c r="Y26" s="489"/>
      <c r="Z26" s="948">
        <f>ROUND(SUM(B26:X26),0)</f>
        <v>12663</v>
      </c>
    </row>
    <row r="27" spans="1:28" ht="14.85" customHeight="1">
      <c r="A27" s="349" t="s">
        <v>1334</v>
      </c>
      <c r="B27" s="489">
        <v>1029250</v>
      </c>
      <c r="C27" s="489"/>
      <c r="D27" s="489">
        <v>2180127</v>
      </c>
      <c r="E27" s="489"/>
      <c r="F27" s="489">
        <v>1346600</v>
      </c>
      <c r="G27" s="489"/>
      <c r="H27" s="489"/>
      <c r="I27" s="489"/>
      <c r="J27" s="489"/>
      <c r="K27" s="489"/>
      <c r="L27" s="489"/>
      <c r="M27" s="487"/>
      <c r="N27" s="489"/>
      <c r="O27" s="489"/>
      <c r="P27" s="489"/>
      <c r="Q27" s="489"/>
      <c r="R27" s="489"/>
      <c r="S27" s="489"/>
      <c r="T27" s="489"/>
      <c r="U27" s="489"/>
      <c r="V27" s="489"/>
      <c r="W27" s="489"/>
      <c r="X27" s="489"/>
      <c r="Y27" s="489"/>
      <c r="Z27" s="948">
        <f t="shared" ref="Z27:Z30" si="1">ROUND(SUM(B27:X27),0)</f>
        <v>4555977</v>
      </c>
    </row>
    <row r="28" spans="1:28" ht="14.85" customHeight="1">
      <c r="A28" s="349" t="s">
        <v>1335</v>
      </c>
      <c r="B28" s="489">
        <v>858000</v>
      </c>
      <c r="C28" s="489"/>
      <c r="D28" s="489">
        <v>0</v>
      </c>
      <c r="E28" s="489"/>
      <c r="F28" s="489">
        <v>1138874</v>
      </c>
      <c r="G28" s="489"/>
      <c r="H28" s="489"/>
      <c r="I28" s="489"/>
      <c r="J28" s="489"/>
      <c r="K28" s="489"/>
      <c r="L28" s="489"/>
      <c r="M28" s="487"/>
      <c r="N28" s="489"/>
      <c r="O28" s="489"/>
      <c r="P28" s="489"/>
      <c r="Q28" s="489"/>
      <c r="R28" s="489"/>
      <c r="S28" s="489"/>
      <c r="T28" s="489"/>
      <c r="U28" s="489"/>
      <c r="V28" s="489"/>
      <c r="W28" s="489"/>
      <c r="X28" s="489"/>
      <c r="Y28" s="489"/>
      <c r="Z28" s="948">
        <f>ROUND(SUM(B28:X28),0)</f>
        <v>1996874</v>
      </c>
    </row>
    <row r="29" spans="1:28" ht="14.85" customHeight="1">
      <c r="A29" s="349" t="s">
        <v>1396</v>
      </c>
      <c r="B29" s="489">
        <v>0</v>
      </c>
      <c r="C29" s="489"/>
      <c r="D29" s="489">
        <v>0</v>
      </c>
      <c r="E29" s="489"/>
      <c r="F29" s="489">
        <v>0</v>
      </c>
      <c r="G29" s="489"/>
      <c r="H29" s="489"/>
      <c r="I29" s="489"/>
      <c r="J29" s="489"/>
      <c r="K29" s="489"/>
      <c r="L29" s="489"/>
      <c r="M29" s="487"/>
      <c r="N29" s="489"/>
      <c r="O29" s="489"/>
      <c r="P29" s="489"/>
      <c r="Q29" s="489"/>
      <c r="R29" s="489"/>
      <c r="S29" s="489"/>
      <c r="T29" s="489"/>
      <c r="U29" s="489"/>
      <c r="V29" s="489"/>
      <c r="W29" s="489"/>
      <c r="X29" s="489"/>
      <c r="Y29" s="489"/>
      <c r="Z29" s="948">
        <f t="shared" si="1"/>
        <v>0</v>
      </c>
    </row>
    <row r="30" spans="1:28" ht="14.85" customHeight="1">
      <c r="A30" s="349" t="s">
        <v>1397</v>
      </c>
      <c r="B30" s="489">
        <v>0</v>
      </c>
      <c r="C30" s="489"/>
      <c r="D30" s="489">
        <v>0</v>
      </c>
      <c r="E30" s="489"/>
      <c r="F30" s="489">
        <v>0</v>
      </c>
      <c r="G30" s="489"/>
      <c r="H30" s="489"/>
      <c r="I30" s="489"/>
      <c r="J30" s="489"/>
      <c r="K30" s="489"/>
      <c r="L30" s="489"/>
      <c r="M30" s="487"/>
      <c r="N30" s="489"/>
      <c r="O30" s="489"/>
      <c r="P30" s="489"/>
      <c r="Q30" s="489"/>
      <c r="R30" s="489"/>
      <c r="S30" s="489"/>
      <c r="T30" s="489"/>
      <c r="U30" s="489"/>
      <c r="V30" s="489"/>
      <c r="W30" s="489"/>
      <c r="X30" s="489"/>
      <c r="Y30" s="489"/>
      <c r="Z30" s="948">
        <f t="shared" si="1"/>
        <v>0</v>
      </c>
    </row>
    <row r="31" spans="1:28" ht="15" customHeight="1">
      <c r="A31" s="349" t="s">
        <v>1336</v>
      </c>
      <c r="B31" s="489">
        <v>0</v>
      </c>
      <c r="C31" s="489"/>
      <c r="D31" s="489">
        <v>0</v>
      </c>
      <c r="E31" s="489"/>
      <c r="F31" s="489">
        <v>0</v>
      </c>
      <c r="G31" s="489"/>
      <c r="H31" s="489"/>
      <c r="I31" s="489"/>
      <c r="J31" s="489"/>
      <c r="K31" s="489"/>
      <c r="L31" s="489"/>
      <c r="M31" s="487"/>
      <c r="N31" s="489"/>
      <c r="O31" s="489"/>
      <c r="P31" s="489"/>
      <c r="Q31" s="489"/>
      <c r="R31" s="489"/>
      <c r="S31" s="489"/>
      <c r="T31" s="489"/>
      <c r="U31" s="489"/>
      <c r="V31" s="489"/>
      <c r="W31" s="489"/>
      <c r="X31" s="489"/>
      <c r="Y31" s="489"/>
      <c r="Z31" s="490">
        <f>ROUND(SUM(B31:X31),0)</f>
        <v>0</v>
      </c>
    </row>
    <row r="32" spans="1:28" ht="15" customHeight="1">
      <c r="A32" s="349" t="s">
        <v>1337</v>
      </c>
      <c r="B32" s="489">
        <v>0</v>
      </c>
      <c r="C32" s="489"/>
      <c r="D32" s="489">
        <v>64998</v>
      </c>
      <c r="E32" s="489"/>
      <c r="F32" s="489">
        <v>0</v>
      </c>
      <c r="G32" s="489"/>
      <c r="H32" s="489"/>
      <c r="I32" s="489"/>
      <c r="J32" s="489"/>
      <c r="K32" s="489"/>
      <c r="L32" s="489"/>
      <c r="M32" s="487"/>
      <c r="N32" s="489"/>
      <c r="O32" s="489"/>
      <c r="P32" s="489"/>
      <c r="Q32" s="489"/>
      <c r="R32" s="489"/>
      <c r="S32" s="489"/>
      <c r="T32" s="489"/>
      <c r="U32" s="489"/>
      <c r="V32" s="489"/>
      <c r="W32" s="489"/>
      <c r="X32" s="489"/>
      <c r="Y32" s="489"/>
      <c r="Z32" s="490">
        <f t="shared" ref="Z32" si="2">ROUND(SUM(B32:X32),0)</f>
        <v>64998</v>
      </c>
    </row>
    <row r="33" spans="1:28" ht="15" customHeight="1">
      <c r="A33" s="349" t="s">
        <v>1338</v>
      </c>
      <c r="B33" s="489">
        <v>3420458</v>
      </c>
      <c r="C33" s="489"/>
      <c r="D33" s="489">
        <v>38920</v>
      </c>
      <c r="E33" s="489"/>
      <c r="F33" s="489">
        <v>888414</v>
      </c>
      <c r="G33" s="489"/>
      <c r="H33" s="489"/>
      <c r="I33" s="489"/>
      <c r="J33" s="489"/>
      <c r="K33" s="489"/>
      <c r="L33" s="489"/>
      <c r="M33" s="487"/>
      <c r="N33" s="489"/>
      <c r="O33" s="489"/>
      <c r="P33" s="489"/>
      <c r="Q33" s="489"/>
      <c r="R33" s="489"/>
      <c r="S33" s="489"/>
      <c r="T33" s="489"/>
      <c r="U33" s="489"/>
      <c r="V33" s="489"/>
      <c r="W33" s="489"/>
      <c r="X33" s="489"/>
      <c r="Y33" s="489"/>
      <c r="Z33" s="490">
        <f>ROUND(SUM(B33:X33),0)</f>
        <v>4347792</v>
      </c>
    </row>
    <row r="34" spans="1:28" ht="15" customHeight="1">
      <c r="A34" s="349" t="s">
        <v>1445</v>
      </c>
      <c r="B34" s="489">
        <v>0</v>
      </c>
      <c r="C34" s="489"/>
      <c r="D34" s="489">
        <v>0</v>
      </c>
      <c r="E34" s="489"/>
      <c r="F34" s="489">
        <v>0</v>
      </c>
      <c r="G34" s="489"/>
      <c r="H34" s="489"/>
      <c r="I34" s="489"/>
      <c r="J34" s="489"/>
      <c r="K34" s="489"/>
      <c r="L34" s="489"/>
      <c r="M34" s="487"/>
      <c r="N34" s="489"/>
      <c r="O34" s="489"/>
      <c r="P34" s="489"/>
      <c r="Q34" s="489"/>
      <c r="R34" s="489"/>
      <c r="S34" s="489"/>
      <c r="T34" s="489"/>
      <c r="U34" s="489"/>
      <c r="V34" s="489"/>
      <c r="W34" s="489"/>
      <c r="X34" s="489"/>
      <c r="Y34" s="489"/>
      <c r="Z34" s="490">
        <f>ROUND(SUM(B34:X34),0)</f>
        <v>0</v>
      </c>
    </row>
    <row r="35" spans="1:28" ht="15" customHeight="1">
      <c r="A35" s="349" t="s">
        <v>1339</v>
      </c>
      <c r="B35" s="489">
        <v>1443533</v>
      </c>
      <c r="C35" s="489"/>
      <c r="D35" s="489">
        <v>56783</v>
      </c>
      <c r="E35" s="489"/>
      <c r="F35" s="489">
        <v>9387317</v>
      </c>
      <c r="G35" s="489"/>
      <c r="H35" s="489"/>
      <c r="I35" s="489"/>
      <c r="J35" s="489"/>
      <c r="K35" s="489"/>
      <c r="L35" s="489"/>
      <c r="M35" s="487"/>
      <c r="N35" s="489"/>
      <c r="O35" s="489"/>
      <c r="P35" s="489"/>
      <c r="Q35" s="489"/>
      <c r="R35" s="489"/>
      <c r="S35" s="489"/>
      <c r="T35" s="489"/>
      <c r="U35" s="489"/>
      <c r="V35" s="489"/>
      <c r="W35" s="489"/>
      <c r="X35" s="489"/>
      <c r="Y35" s="489"/>
      <c r="Z35" s="490">
        <f>ROUND(SUM(B35:X35),0)</f>
        <v>10887633</v>
      </c>
    </row>
    <row r="36" spans="1:28" ht="22.5" customHeight="1">
      <c r="A36" s="183" t="s">
        <v>457</v>
      </c>
      <c r="B36" s="593">
        <f>ROUND(SUM(B20:B35),0)</f>
        <v>6983822</v>
      </c>
      <c r="C36" s="489"/>
      <c r="D36" s="593">
        <f>ROUND(SUM(D20:D35),0)</f>
        <v>2349651</v>
      </c>
      <c r="E36" s="489"/>
      <c r="F36" s="593">
        <f>ROUND(SUM(F20:F35),0)</f>
        <v>14699143</v>
      </c>
      <c r="G36" s="489"/>
      <c r="H36" s="593">
        <f>ROUND(SUM(H20:H35),0)</f>
        <v>0</v>
      </c>
      <c r="I36" s="489"/>
      <c r="J36" s="593">
        <f>ROUND(SUM(J20:J35),0)</f>
        <v>0</v>
      </c>
      <c r="K36" s="489"/>
      <c r="L36" s="593">
        <f>ROUND(SUM(L20:L35),0)</f>
        <v>0</v>
      </c>
      <c r="M36" s="487"/>
      <c r="N36" s="593">
        <f>ROUND(SUM(N20:N35),0)</f>
        <v>0</v>
      </c>
      <c r="O36" s="489"/>
      <c r="P36" s="593">
        <f>ROUND(SUM(P20:P35),0)</f>
        <v>0</v>
      </c>
      <c r="Q36" s="489"/>
      <c r="R36" s="593">
        <f>ROUND(SUM(R20:R35),0)</f>
        <v>0</v>
      </c>
      <c r="S36" s="489"/>
      <c r="T36" s="593">
        <f>ROUND(SUM(T20:T35),0)</f>
        <v>0</v>
      </c>
      <c r="U36" s="489"/>
      <c r="V36" s="593">
        <f>ROUND(SUM(V20:V35),0)</f>
        <v>0</v>
      </c>
      <c r="W36" s="489"/>
      <c r="X36" s="593">
        <f>ROUND(SUM(X20:X35),0)</f>
        <v>0</v>
      </c>
      <c r="Y36" s="489"/>
      <c r="Z36" s="593">
        <f>ROUND(SUM(Z20:Z35),0)</f>
        <v>24032616</v>
      </c>
    </row>
    <row r="37" spans="1:28" ht="15" customHeight="1">
      <c r="A37" s="183"/>
      <c r="B37" s="489"/>
      <c r="C37" s="489"/>
      <c r="D37" s="489"/>
      <c r="E37" s="489"/>
      <c r="F37" s="491"/>
      <c r="G37" s="489"/>
      <c r="H37" s="491"/>
      <c r="I37" s="489"/>
      <c r="J37" s="489"/>
      <c r="K37" s="489"/>
      <c r="L37" s="494"/>
      <c r="M37" s="487"/>
      <c r="N37" s="494"/>
      <c r="O37" s="489"/>
      <c r="P37" s="489"/>
      <c r="Q37" s="489"/>
      <c r="R37" s="491"/>
      <c r="S37" s="489"/>
      <c r="T37" s="491"/>
      <c r="U37" s="489"/>
      <c r="V37" s="489"/>
      <c r="W37" s="489"/>
      <c r="X37" s="491"/>
      <c r="Y37" s="489"/>
      <c r="Z37" s="490"/>
    </row>
    <row r="38" spans="1:28" ht="15" customHeight="1">
      <c r="A38" s="185" t="s">
        <v>930</v>
      </c>
      <c r="B38" s="491"/>
      <c r="C38" s="491"/>
      <c r="D38" s="491"/>
      <c r="E38" s="489"/>
      <c r="F38" s="494"/>
      <c r="G38" s="489"/>
      <c r="H38" s="491"/>
      <c r="I38" s="489"/>
      <c r="J38" s="491"/>
      <c r="K38" s="489"/>
      <c r="L38" s="491"/>
      <c r="M38" s="487"/>
      <c r="N38" s="491"/>
      <c r="O38" s="489"/>
      <c r="P38" s="489"/>
      <c r="Q38" s="489"/>
      <c r="R38" s="491"/>
      <c r="S38" s="489"/>
      <c r="T38" s="491"/>
      <c r="U38" s="489"/>
      <c r="V38" s="494"/>
      <c r="W38" s="489"/>
      <c r="X38" s="494"/>
      <c r="Y38" s="489"/>
      <c r="Z38" s="490"/>
    </row>
    <row r="39" spans="1:28" ht="15" customHeight="1">
      <c r="A39" s="349" t="s">
        <v>932</v>
      </c>
      <c r="B39" s="489">
        <v>0</v>
      </c>
      <c r="C39" s="491"/>
      <c r="D39" s="489">
        <v>0</v>
      </c>
      <c r="E39" s="489"/>
      <c r="F39" s="489">
        <v>0</v>
      </c>
      <c r="G39" s="489"/>
      <c r="H39" s="489"/>
      <c r="I39" s="489"/>
      <c r="J39" s="493"/>
      <c r="K39" s="489"/>
      <c r="L39" s="489"/>
      <c r="M39" s="487"/>
      <c r="N39" s="489"/>
      <c r="O39" s="489"/>
      <c r="P39" s="489"/>
      <c r="Q39" s="489"/>
      <c r="R39" s="489"/>
      <c r="S39" s="489"/>
      <c r="T39" s="489"/>
      <c r="U39" s="489"/>
      <c r="V39" s="489"/>
      <c r="W39" s="489"/>
      <c r="X39" s="489"/>
      <c r="Y39" s="489"/>
      <c r="Z39" s="490">
        <f>ROUND(SUM(B39:X39),0)</f>
        <v>0</v>
      </c>
    </row>
    <row r="40" spans="1:28" ht="22.5" customHeight="1">
      <c r="A40" s="183" t="s">
        <v>937</v>
      </c>
      <c r="B40" s="600">
        <f>ROUND(SUM(B39:B39),0)</f>
        <v>0</v>
      </c>
      <c r="C40" s="491"/>
      <c r="D40" s="600">
        <f>ROUND(SUM(D39:D39),0)</f>
        <v>0</v>
      </c>
      <c r="E40" s="489"/>
      <c r="F40" s="600">
        <f>ROUND(SUM(F39:F39),0)</f>
        <v>0</v>
      </c>
      <c r="G40" s="489"/>
      <c r="H40" s="600">
        <f>ROUND(SUM(H39:H39),0)</f>
        <v>0</v>
      </c>
      <c r="I40" s="489"/>
      <c r="J40" s="600">
        <f>ROUND(SUM(J39:J39),0)</f>
        <v>0</v>
      </c>
      <c r="K40" s="489"/>
      <c r="L40" s="600">
        <f>ROUND(SUM(L39:L39),0)</f>
        <v>0</v>
      </c>
      <c r="M40" s="487"/>
      <c r="N40" s="600">
        <f>ROUND(SUM(N39:N39),0)</f>
        <v>0</v>
      </c>
      <c r="O40" s="489"/>
      <c r="P40" s="600">
        <f>ROUND(SUM(P39:P39),0)</f>
        <v>0</v>
      </c>
      <c r="Q40" s="489"/>
      <c r="R40" s="600">
        <f>ROUND(SUM(R39:R39),0)</f>
        <v>0</v>
      </c>
      <c r="S40" s="489"/>
      <c r="T40" s="600">
        <f>ROUND(SUM(T39:T39),0)</f>
        <v>0</v>
      </c>
      <c r="U40" s="489"/>
      <c r="V40" s="600">
        <f>ROUND(SUM(V39:V39),0)</f>
        <v>0</v>
      </c>
      <c r="W40" s="489"/>
      <c r="X40" s="600">
        <f>ROUND(SUM(X39:X39),0)</f>
        <v>0</v>
      </c>
      <c r="Y40" s="489"/>
      <c r="Z40" s="600">
        <f>ROUND(SUM(Z39:Z39),0)</f>
        <v>0</v>
      </c>
    </row>
    <row r="41" spans="1:28" ht="15" customHeight="1">
      <c r="B41" s="614"/>
      <c r="C41" s="491"/>
      <c r="D41" s="614"/>
      <c r="E41" s="489"/>
      <c r="F41" s="614"/>
      <c r="G41" s="489"/>
      <c r="H41" s="614"/>
      <c r="I41" s="489"/>
      <c r="J41" s="614"/>
      <c r="K41" s="489"/>
      <c r="L41" s="614"/>
      <c r="M41" s="487"/>
      <c r="N41" s="614"/>
      <c r="O41" s="489"/>
      <c r="P41" s="614"/>
      <c r="Q41" s="489"/>
      <c r="R41" s="614"/>
      <c r="S41" s="489"/>
      <c r="T41" s="614"/>
      <c r="U41" s="489"/>
      <c r="V41" s="614"/>
      <c r="W41" s="489"/>
      <c r="X41" s="614"/>
      <c r="Y41" s="489"/>
      <c r="Z41" s="1094"/>
    </row>
    <row r="42" spans="1:28" s="182" customFormat="1" ht="20.25" customHeight="1">
      <c r="A42" s="183" t="s">
        <v>938</v>
      </c>
      <c r="B42" s="1087">
        <f>ROUND(B36+B40,0)</f>
        <v>6983822</v>
      </c>
      <c r="C42" s="184"/>
      <c r="D42" s="1087">
        <f>ROUND(D36+D40,0)</f>
        <v>2349651</v>
      </c>
      <c r="E42" s="184"/>
      <c r="F42" s="1087">
        <f>ROUND(F36+F40,0)</f>
        <v>14699143</v>
      </c>
      <c r="G42" s="184"/>
      <c r="H42" s="1087">
        <f>ROUND(H36+H40,0)</f>
        <v>0</v>
      </c>
      <c r="I42" s="184"/>
      <c r="J42" s="1810">
        <f>ROUND(J36+J40,0)</f>
        <v>0</v>
      </c>
      <c r="K42" s="184"/>
      <c r="L42" s="1087">
        <f>ROUND(L36+L40,0)</f>
        <v>0</v>
      </c>
      <c r="M42" s="179"/>
      <c r="N42" s="1087">
        <f>ROUND(N36+N40,0)</f>
        <v>0</v>
      </c>
      <c r="O42" s="184"/>
      <c r="P42" s="1087">
        <f>ROUND(P36+P40,0)</f>
        <v>0</v>
      </c>
      <c r="Q42" s="184"/>
      <c r="R42" s="1087">
        <f>ROUND(R36+R40,0)</f>
        <v>0</v>
      </c>
      <c r="S42" s="184"/>
      <c r="T42" s="1087">
        <f>ROUND(T36+T40,0)</f>
        <v>0</v>
      </c>
      <c r="U42" s="184"/>
      <c r="V42" s="1087">
        <f>ROUND(V36+V40,0)</f>
        <v>0</v>
      </c>
      <c r="W42" s="184"/>
      <c r="X42" s="1087">
        <f>ROUND(X36+X40,0)</f>
        <v>0</v>
      </c>
      <c r="Y42" s="184"/>
      <c r="Z42" s="1087">
        <f>ROUND(Z36+Z40,0)</f>
        <v>24032616</v>
      </c>
      <c r="AB42" s="115"/>
    </row>
    <row r="43" spans="1:28" ht="15" customHeight="1">
      <c r="A43" s="486"/>
      <c r="B43" s="487"/>
      <c r="C43" s="487"/>
      <c r="D43" s="487"/>
      <c r="E43" s="487"/>
      <c r="F43" s="487"/>
      <c r="G43" s="487"/>
      <c r="H43" s="487"/>
      <c r="I43" s="487"/>
      <c r="J43" s="487"/>
      <c r="K43" s="487"/>
      <c r="L43" s="487"/>
      <c r="M43" s="487"/>
      <c r="N43" s="487"/>
      <c r="O43" s="487"/>
      <c r="P43" s="487"/>
      <c r="Q43" s="487"/>
      <c r="R43" s="487"/>
      <c r="S43" s="487"/>
      <c r="T43" s="487"/>
      <c r="U43" s="487"/>
      <c r="V43" s="487"/>
      <c r="W43" s="487"/>
      <c r="X43" s="487"/>
      <c r="Y43" s="487"/>
    </row>
    <row r="44" spans="1:28" s="182" customFormat="1" ht="20.25" customHeight="1" thickBot="1">
      <c r="A44" s="185" t="s">
        <v>939</v>
      </c>
      <c r="B44" s="819">
        <f>ROUND(B12+B17-B42,0)</f>
        <v>101980905</v>
      </c>
      <c r="C44" s="181"/>
      <c r="D44" s="819">
        <f>ROUND(D12+D17-D42,0)</f>
        <v>99631254</v>
      </c>
      <c r="E44" s="485"/>
      <c r="F44" s="819">
        <f>ROUND(F12+F17-F42,0)</f>
        <v>84932111</v>
      </c>
      <c r="G44" s="485"/>
      <c r="H44" s="819">
        <f>ROUND(H12+H17-H42,0)</f>
        <v>0</v>
      </c>
      <c r="I44" s="945"/>
      <c r="J44" s="1811">
        <f>ROUND(J12+J17-J42,0)</f>
        <v>0</v>
      </c>
      <c r="K44" s="946"/>
      <c r="L44" s="819">
        <f>ROUND(L12+L17-L42,0)</f>
        <v>0</v>
      </c>
      <c r="M44" s="947"/>
      <c r="N44" s="819">
        <f>ROUND(N12+N17-N42,0)</f>
        <v>0</v>
      </c>
      <c r="O44" s="946"/>
      <c r="P44" s="819">
        <f>ROUND(P12+P17-P42,0)</f>
        <v>0</v>
      </c>
      <c r="Q44" s="946"/>
      <c r="R44" s="819">
        <f>ROUND(R12+R17-R42,0)</f>
        <v>0</v>
      </c>
      <c r="S44" s="946"/>
      <c r="T44" s="819">
        <f>ROUND(T12+T17-T42,0)</f>
        <v>0</v>
      </c>
      <c r="U44" s="946"/>
      <c r="V44" s="819">
        <f>ROUND(V12+V17-V42,0)</f>
        <v>0</v>
      </c>
      <c r="W44" s="946"/>
      <c r="X44" s="819">
        <f>ROUND(X12+X17-X42,0)</f>
        <v>0</v>
      </c>
      <c r="Y44" s="946"/>
      <c r="Z44" s="1999">
        <f>ROUND(Z12+Z17-Z42,0)</f>
        <v>84932111</v>
      </c>
    </row>
    <row r="45" spans="1:28" ht="15" customHeight="1" thickTop="1">
      <c r="A45" s="486"/>
      <c r="B45" s="483"/>
      <c r="C45" s="483"/>
      <c r="D45" s="483"/>
      <c r="E45" s="484"/>
      <c r="F45" s="483"/>
      <c r="G45" s="484"/>
      <c r="H45" s="483"/>
      <c r="I45" s="484"/>
      <c r="J45" s="483"/>
      <c r="K45" s="483"/>
      <c r="L45" s="483"/>
      <c r="M45" s="484"/>
      <c r="N45" s="483"/>
      <c r="O45" s="484"/>
      <c r="P45" s="483"/>
      <c r="Q45" s="484"/>
      <c r="R45" s="483"/>
      <c r="S45" s="484"/>
      <c r="T45" s="483"/>
      <c r="U45" s="484"/>
      <c r="V45" s="483"/>
      <c r="W45" s="484"/>
      <c r="X45" s="483"/>
      <c r="Y45" s="484"/>
      <c r="Z45" s="495"/>
    </row>
    <row r="46" spans="1:28" ht="20.100000000000001" customHeight="1">
      <c r="A46" s="186"/>
      <c r="B46" s="483"/>
      <c r="C46" s="483"/>
      <c r="D46" s="483"/>
      <c r="E46" s="484"/>
      <c r="F46" s="483"/>
      <c r="G46" s="484"/>
      <c r="H46" s="483"/>
      <c r="I46" s="484"/>
      <c r="J46" s="483"/>
      <c r="K46" s="483"/>
      <c r="L46" s="483"/>
      <c r="M46" s="484"/>
      <c r="N46" s="483"/>
      <c r="O46" s="484"/>
      <c r="P46" s="483"/>
      <c r="Q46" s="484"/>
      <c r="R46" s="483"/>
      <c r="S46" s="484"/>
      <c r="T46" s="483"/>
      <c r="U46" s="484"/>
      <c r="V46" s="483"/>
      <c r="W46" s="484"/>
      <c r="X46" s="483"/>
      <c r="Y46" s="484"/>
      <c r="Z46" s="488"/>
    </row>
    <row r="47" spans="1:28">
      <c r="L47" s="563" t="s">
        <v>103</v>
      </c>
    </row>
    <row r="48" spans="1:28" ht="18" customHeight="1">
      <c r="A48" s="565" t="s">
        <v>1340</v>
      </c>
      <c r="B48" s="479"/>
      <c r="C48" s="479"/>
      <c r="D48" s="479"/>
      <c r="E48" s="166"/>
      <c r="F48" s="479"/>
      <c r="G48" s="166"/>
      <c r="H48" s="479"/>
      <c r="I48" s="166"/>
      <c r="J48" s="479"/>
      <c r="K48" s="479"/>
      <c r="L48" s="479"/>
      <c r="M48" s="484"/>
      <c r="N48" s="479" t="s">
        <v>103</v>
      </c>
      <c r="O48" s="166"/>
      <c r="P48" s="479"/>
      <c r="Q48" s="166"/>
      <c r="R48" s="479"/>
      <c r="S48" s="166"/>
      <c r="T48" s="479"/>
      <c r="U48" s="166"/>
      <c r="V48" s="479"/>
      <c r="W48" s="166"/>
      <c r="X48" s="479"/>
      <c r="Y48" s="166"/>
      <c r="Z48" s="480"/>
    </row>
    <row r="49" spans="1:26" ht="20.100000000000001" customHeight="1">
      <c r="A49" s="564" t="s">
        <v>1341</v>
      </c>
      <c r="B49" s="483"/>
      <c r="C49" s="483"/>
      <c r="D49" s="483"/>
      <c r="E49" s="484"/>
      <c r="F49" s="483"/>
      <c r="G49" s="484"/>
      <c r="H49" s="483"/>
      <c r="I49" s="484"/>
      <c r="J49" s="483"/>
      <c r="K49" s="483"/>
      <c r="L49" s="483"/>
      <c r="M49" s="484"/>
      <c r="N49" s="483" t="s">
        <v>103</v>
      </c>
      <c r="O49" s="484"/>
      <c r="P49" s="483"/>
      <c r="Q49" s="484"/>
      <c r="R49" s="483"/>
      <c r="S49" s="484"/>
      <c r="T49" s="483"/>
      <c r="U49" s="484"/>
      <c r="V49" s="483"/>
      <c r="W49" s="484"/>
      <c r="X49" s="483"/>
      <c r="Y49" s="484"/>
      <c r="Z49" s="488"/>
    </row>
    <row r="50" spans="1:26" ht="20.100000000000001" customHeight="1">
      <c r="A50" s="564"/>
      <c r="B50" s="483"/>
      <c r="C50" s="483"/>
      <c r="D50" s="483"/>
      <c r="E50" s="484"/>
      <c r="F50" s="483"/>
      <c r="G50" s="484"/>
      <c r="H50" s="483"/>
      <c r="I50" s="484"/>
      <c r="J50" s="483"/>
      <c r="K50" s="483"/>
      <c r="L50" s="483"/>
      <c r="M50" s="484"/>
      <c r="N50" s="483" t="s">
        <v>103</v>
      </c>
      <c r="O50" s="484"/>
      <c r="P50" s="483"/>
      <c r="Q50" s="484"/>
      <c r="R50" s="483"/>
      <c r="S50" s="484"/>
      <c r="T50" s="483"/>
      <c r="U50" s="484"/>
      <c r="V50" s="483"/>
      <c r="W50" s="484"/>
      <c r="X50" s="483"/>
      <c r="Y50" s="484"/>
      <c r="Z50" s="488"/>
    </row>
    <row r="51" spans="1:26" ht="20.100000000000001" customHeight="1">
      <c r="A51" s="564"/>
      <c r="B51" s="165"/>
      <c r="C51" s="165"/>
      <c r="D51" s="165"/>
      <c r="E51" s="166"/>
      <c r="F51" s="165"/>
      <c r="G51" s="166"/>
      <c r="H51" s="165"/>
      <c r="I51" s="166"/>
      <c r="J51" s="165"/>
      <c r="K51" s="165"/>
      <c r="L51" s="165"/>
      <c r="M51" s="166"/>
      <c r="N51" s="165"/>
      <c r="O51" s="166"/>
      <c r="P51" s="165"/>
      <c r="Q51" s="166"/>
      <c r="R51" s="165"/>
      <c r="S51" s="166"/>
      <c r="T51" s="165"/>
      <c r="U51" s="166"/>
      <c r="V51" s="165"/>
      <c r="W51" s="166"/>
      <c r="X51" s="165"/>
      <c r="Y51" s="166"/>
      <c r="Z51" s="116"/>
    </row>
    <row r="52" spans="1:26" ht="20.100000000000001" customHeight="1">
      <c r="A52" s="163"/>
      <c r="B52" s="165"/>
      <c r="C52" s="165"/>
      <c r="D52" s="165"/>
      <c r="E52" s="166"/>
      <c r="F52" s="165"/>
      <c r="G52" s="166"/>
      <c r="H52" s="165"/>
      <c r="I52" s="166"/>
      <c r="J52" s="165"/>
      <c r="K52" s="165"/>
      <c r="L52" s="165"/>
      <c r="M52" s="166"/>
      <c r="N52" s="165"/>
      <c r="O52" s="166"/>
      <c r="P52" s="165"/>
      <c r="Q52" s="166"/>
      <c r="R52" s="165"/>
      <c r="S52" s="166"/>
      <c r="T52" s="165"/>
      <c r="U52" s="166"/>
      <c r="V52" s="165"/>
      <c r="W52" s="166"/>
      <c r="X52" s="165"/>
      <c r="Y52" s="166"/>
      <c r="Z52" s="116"/>
    </row>
    <row r="53" spans="1:26" ht="20.100000000000001" customHeight="1">
      <c r="A53" s="163"/>
      <c r="B53" s="165"/>
      <c r="C53" s="165"/>
      <c r="D53" s="165"/>
      <c r="E53" s="166"/>
      <c r="F53" s="165"/>
      <c r="G53" s="166"/>
      <c r="H53" s="165"/>
      <c r="I53" s="166"/>
      <c r="J53" s="165"/>
      <c r="K53" s="165"/>
      <c r="L53" s="165"/>
      <c r="M53" s="166"/>
      <c r="N53" s="165"/>
      <c r="O53" s="166"/>
      <c r="P53" s="165"/>
      <c r="Q53" s="166"/>
      <c r="R53" s="165"/>
      <c r="S53" s="166"/>
      <c r="T53" s="165"/>
      <c r="U53" s="166"/>
      <c r="V53" s="165"/>
      <c r="W53" s="166"/>
      <c r="X53" s="165"/>
      <c r="Y53" s="166"/>
      <c r="Z53" s="116"/>
    </row>
    <row r="54" spans="1:26" ht="20.100000000000001" customHeight="1">
      <c r="A54" s="163"/>
      <c r="B54" s="165"/>
      <c r="C54" s="165"/>
      <c r="D54" s="165"/>
      <c r="E54" s="166"/>
      <c r="F54" s="165"/>
      <c r="G54" s="166"/>
      <c r="H54" s="165"/>
      <c r="I54" s="166"/>
      <c r="J54" s="165"/>
      <c r="K54" s="165"/>
      <c r="L54" s="165"/>
      <c r="M54" s="166"/>
      <c r="N54" s="165"/>
      <c r="O54" s="166"/>
      <c r="P54" s="165"/>
      <c r="Q54" s="166"/>
      <c r="R54" s="165"/>
      <c r="S54" s="166"/>
      <c r="T54" s="165"/>
      <c r="U54" s="166"/>
      <c r="V54" s="165"/>
      <c r="W54" s="166"/>
      <c r="X54" s="165"/>
      <c r="Y54" s="166"/>
      <c r="Z54" s="116"/>
    </row>
    <row r="55" spans="1:26" ht="20.100000000000001" customHeight="1">
      <c r="A55" s="163"/>
      <c r="B55" s="165"/>
      <c r="C55" s="165"/>
      <c r="D55" s="165"/>
      <c r="E55" s="166"/>
      <c r="F55" s="165"/>
      <c r="G55" s="166"/>
      <c r="H55" s="165"/>
      <c r="I55" s="166"/>
      <c r="J55" s="165"/>
      <c r="K55" s="165"/>
      <c r="L55" s="165"/>
      <c r="M55" s="166"/>
      <c r="N55" s="165"/>
      <c r="O55" s="166"/>
      <c r="P55" s="165"/>
      <c r="Q55" s="166"/>
      <c r="R55" s="165"/>
      <c r="S55" s="166"/>
      <c r="T55" s="165"/>
      <c r="U55" s="166"/>
      <c r="V55" s="165"/>
      <c r="W55" s="166"/>
      <c r="X55" s="165"/>
      <c r="Y55" s="166"/>
      <c r="Z55" s="116"/>
    </row>
    <row r="56" spans="1:26">
      <c r="A56" s="163"/>
      <c r="B56" s="165"/>
      <c r="C56" s="165"/>
      <c r="D56" s="165"/>
      <c r="E56" s="166"/>
      <c r="F56" s="165"/>
      <c r="G56" s="166"/>
      <c r="H56" s="165"/>
      <c r="I56" s="166"/>
      <c r="J56" s="165"/>
      <c r="K56" s="165"/>
      <c r="L56" s="165"/>
      <c r="M56" s="166"/>
      <c r="N56" s="165"/>
      <c r="O56" s="166"/>
      <c r="P56" s="165"/>
      <c r="Q56" s="166"/>
      <c r="R56" s="165"/>
      <c r="S56" s="166"/>
      <c r="T56" s="165"/>
      <c r="U56" s="166"/>
      <c r="V56" s="165"/>
      <c r="W56" s="166"/>
      <c r="X56" s="165"/>
      <c r="Y56" s="166"/>
      <c r="Z56" s="116"/>
    </row>
    <row r="57" spans="1:26">
      <c r="A57" s="163"/>
      <c r="B57" s="165"/>
      <c r="C57" s="165"/>
      <c r="D57" s="165"/>
      <c r="E57" s="166"/>
      <c r="F57" s="165"/>
      <c r="G57" s="166"/>
      <c r="H57" s="165"/>
      <c r="I57" s="166"/>
      <c r="J57" s="165"/>
      <c r="K57" s="165"/>
      <c r="L57" s="165"/>
      <c r="M57" s="166"/>
      <c r="N57" s="165"/>
      <c r="O57" s="166"/>
      <c r="P57" s="165"/>
      <c r="Q57" s="166"/>
      <c r="R57" s="165"/>
      <c r="S57" s="166"/>
      <c r="T57" s="165"/>
      <c r="U57" s="166"/>
      <c r="V57" s="165"/>
      <c r="W57" s="166"/>
      <c r="X57" s="165"/>
      <c r="Y57" s="166"/>
      <c r="Z57" s="116"/>
    </row>
    <row r="58" spans="1:26">
      <c r="A58" s="163"/>
      <c r="B58" s="165"/>
      <c r="C58" s="165"/>
      <c r="D58" s="165"/>
      <c r="E58" s="166"/>
      <c r="F58" s="165"/>
      <c r="G58" s="166"/>
      <c r="H58" s="165"/>
      <c r="I58" s="166"/>
      <c r="J58" s="165"/>
      <c r="K58" s="165"/>
      <c r="L58" s="165"/>
      <c r="M58" s="166"/>
      <c r="N58" s="165"/>
      <c r="O58" s="166"/>
      <c r="P58" s="165"/>
      <c r="Q58" s="166"/>
      <c r="R58" s="165"/>
      <c r="S58" s="166"/>
      <c r="T58" s="165"/>
      <c r="U58" s="166"/>
      <c r="V58" s="165"/>
      <c r="W58" s="166"/>
      <c r="X58" s="165"/>
      <c r="Y58" s="166"/>
      <c r="Z58" s="116"/>
    </row>
    <row r="59" spans="1:26">
      <c r="A59" s="163"/>
      <c r="B59" s="165"/>
      <c r="C59" s="165"/>
      <c r="D59" s="165"/>
      <c r="E59" s="166"/>
      <c r="F59" s="165"/>
      <c r="G59" s="166"/>
      <c r="H59" s="165"/>
      <c r="I59" s="166"/>
      <c r="J59" s="165"/>
      <c r="K59" s="165"/>
      <c r="L59" s="165"/>
      <c r="M59" s="166"/>
      <c r="N59" s="165"/>
      <c r="O59" s="166"/>
      <c r="P59" s="165"/>
      <c r="Q59" s="166"/>
      <c r="R59" s="165"/>
      <c r="S59" s="166"/>
      <c r="T59" s="165"/>
      <c r="U59" s="166"/>
      <c r="V59" s="165"/>
      <c r="W59" s="166"/>
      <c r="X59" s="165"/>
      <c r="Y59" s="166"/>
      <c r="Z59" s="116"/>
    </row>
    <row r="60" spans="1:26">
      <c r="A60" s="163"/>
      <c r="B60" s="165"/>
      <c r="C60" s="165"/>
      <c r="D60" s="165"/>
      <c r="E60" s="166"/>
      <c r="F60" s="165"/>
      <c r="G60" s="166"/>
      <c r="H60" s="165"/>
      <c r="I60" s="166"/>
      <c r="J60" s="165"/>
      <c r="K60" s="165"/>
      <c r="L60" s="165"/>
      <c r="M60" s="166"/>
      <c r="N60" s="165"/>
      <c r="O60" s="166"/>
      <c r="P60" s="165"/>
      <c r="Q60" s="166"/>
      <c r="R60" s="165"/>
      <c r="S60" s="166"/>
      <c r="T60" s="165"/>
      <c r="U60" s="166"/>
      <c r="V60" s="165"/>
      <c r="W60" s="166"/>
      <c r="X60" s="165"/>
      <c r="Y60" s="166"/>
      <c r="Z60" s="116"/>
    </row>
    <row r="61" spans="1:26">
      <c r="A61" s="163"/>
      <c r="B61" s="165"/>
      <c r="C61" s="165"/>
      <c r="D61" s="165"/>
      <c r="E61" s="166"/>
      <c r="F61" s="165"/>
      <c r="G61" s="166"/>
      <c r="H61" s="165"/>
      <c r="I61" s="166"/>
      <c r="J61" s="165"/>
      <c r="K61" s="165"/>
      <c r="L61" s="165"/>
      <c r="M61" s="166"/>
      <c r="N61" s="165"/>
      <c r="O61" s="166"/>
      <c r="P61" s="165"/>
      <c r="Q61" s="166"/>
      <c r="R61" s="165"/>
      <c r="S61" s="166"/>
      <c r="T61" s="165"/>
      <c r="U61" s="166"/>
      <c r="V61" s="165"/>
      <c r="W61" s="166"/>
      <c r="X61" s="165"/>
      <c r="Y61" s="166"/>
      <c r="Z61" s="116"/>
    </row>
    <row r="62" spans="1:26">
      <c r="A62" s="163"/>
      <c r="B62" s="165"/>
      <c r="C62" s="165"/>
      <c r="D62" s="165"/>
      <c r="E62" s="166"/>
      <c r="F62" s="165"/>
      <c r="G62" s="166"/>
      <c r="H62" s="165"/>
      <c r="I62" s="166"/>
      <c r="J62" s="165"/>
      <c r="K62" s="165"/>
      <c r="L62" s="165"/>
      <c r="M62" s="166"/>
      <c r="N62" s="165"/>
      <c r="O62" s="166"/>
      <c r="P62" s="165"/>
      <c r="Q62" s="166"/>
      <c r="R62" s="165"/>
      <c r="S62" s="166"/>
      <c r="T62" s="165"/>
      <c r="U62" s="166"/>
      <c r="V62" s="165"/>
      <c r="W62" s="166"/>
      <c r="X62" s="165"/>
      <c r="Y62" s="166"/>
      <c r="Z62" s="116"/>
    </row>
    <row r="63" spans="1:26">
      <c r="A63" s="163"/>
      <c r="B63" s="165"/>
      <c r="C63" s="165"/>
      <c r="D63" s="165"/>
      <c r="E63" s="166"/>
      <c r="F63" s="165"/>
      <c r="G63" s="166"/>
      <c r="H63" s="165"/>
      <c r="I63" s="166"/>
      <c r="J63" s="165"/>
      <c r="K63" s="165"/>
      <c r="L63" s="165"/>
      <c r="M63" s="166"/>
      <c r="N63" s="165"/>
      <c r="O63" s="166"/>
      <c r="P63" s="165"/>
      <c r="Q63" s="166"/>
      <c r="R63" s="165"/>
      <c r="S63" s="166"/>
      <c r="T63" s="165"/>
      <c r="U63" s="166"/>
      <c r="V63" s="165"/>
      <c r="W63" s="166"/>
      <c r="X63" s="165"/>
      <c r="Y63" s="166"/>
      <c r="Z63" s="116"/>
    </row>
    <row r="64" spans="1:26">
      <c r="A64" s="163"/>
      <c r="B64" s="165"/>
      <c r="C64" s="165"/>
      <c r="D64" s="165"/>
      <c r="E64" s="166"/>
      <c r="F64" s="165"/>
      <c r="G64" s="166"/>
      <c r="H64" s="165"/>
      <c r="I64" s="166"/>
      <c r="J64" s="165"/>
      <c r="K64" s="165"/>
      <c r="L64" s="165"/>
      <c r="M64" s="166"/>
      <c r="N64" s="165"/>
      <c r="O64" s="166"/>
      <c r="P64" s="165"/>
      <c r="Q64" s="166"/>
      <c r="R64" s="165"/>
      <c r="S64" s="166"/>
      <c r="T64" s="165"/>
      <c r="U64" s="166"/>
      <c r="V64" s="165"/>
      <c r="W64" s="166"/>
      <c r="X64" s="165"/>
      <c r="Y64" s="166"/>
      <c r="Z64" s="116"/>
    </row>
    <row r="65" spans="1:26">
      <c r="A65" s="163"/>
      <c r="B65" s="165"/>
      <c r="C65" s="165"/>
      <c r="D65" s="165"/>
      <c r="E65" s="166"/>
      <c r="F65" s="165"/>
      <c r="G65" s="166"/>
      <c r="H65" s="165"/>
      <c r="I65" s="166"/>
      <c r="J65" s="165"/>
      <c r="K65" s="165"/>
      <c r="L65" s="165"/>
      <c r="M65" s="166"/>
      <c r="N65" s="165"/>
      <c r="O65" s="166"/>
      <c r="P65" s="165"/>
      <c r="Q65" s="166"/>
      <c r="R65" s="165"/>
      <c r="S65" s="166"/>
      <c r="T65" s="165"/>
      <c r="U65" s="166"/>
      <c r="V65" s="165"/>
      <c r="W65" s="166"/>
      <c r="X65" s="165"/>
      <c r="Y65" s="166"/>
      <c r="Z65" s="116"/>
    </row>
    <row r="66" spans="1:26">
      <c r="A66" s="163"/>
      <c r="B66" s="165"/>
      <c r="C66" s="165"/>
      <c r="D66" s="165"/>
      <c r="E66" s="166"/>
      <c r="F66" s="165"/>
      <c r="G66" s="166"/>
      <c r="H66" s="165"/>
      <c r="I66" s="166"/>
      <c r="J66" s="165"/>
      <c r="K66" s="165"/>
      <c r="L66" s="165"/>
      <c r="M66" s="166"/>
      <c r="N66" s="165"/>
      <c r="O66" s="166"/>
      <c r="P66" s="165"/>
      <c r="Q66" s="166"/>
      <c r="R66" s="165"/>
      <c r="S66" s="166"/>
      <c r="T66" s="165"/>
      <c r="U66" s="166"/>
      <c r="V66" s="165"/>
      <c r="W66" s="166"/>
      <c r="X66" s="165"/>
      <c r="Y66" s="166"/>
      <c r="Z66" s="116"/>
    </row>
    <row r="67" spans="1:26">
      <c r="A67" s="163"/>
      <c r="B67" s="165"/>
      <c r="C67" s="165"/>
      <c r="D67" s="165"/>
      <c r="E67" s="166"/>
      <c r="F67" s="165"/>
      <c r="G67" s="166"/>
      <c r="H67" s="165"/>
      <c r="I67" s="166"/>
      <c r="J67" s="165"/>
      <c r="K67" s="165"/>
      <c r="L67" s="165"/>
      <c r="M67" s="166"/>
      <c r="N67" s="165"/>
      <c r="O67" s="166"/>
      <c r="P67" s="165"/>
      <c r="Q67" s="166"/>
      <c r="R67" s="165"/>
      <c r="S67" s="166"/>
      <c r="T67" s="165"/>
      <c r="U67" s="166"/>
      <c r="V67" s="165"/>
      <c r="W67" s="166"/>
      <c r="X67" s="165"/>
      <c r="Y67" s="166"/>
      <c r="Z67" s="116"/>
    </row>
    <row r="68" spans="1:26">
      <c r="A68" s="163"/>
      <c r="B68" s="165"/>
      <c r="C68" s="165"/>
      <c r="D68" s="165"/>
      <c r="E68" s="166"/>
      <c r="F68" s="165"/>
      <c r="G68" s="166"/>
      <c r="H68" s="165"/>
      <c r="I68" s="166"/>
      <c r="J68" s="165"/>
      <c r="K68" s="165"/>
      <c r="L68" s="165"/>
      <c r="M68" s="166"/>
      <c r="N68" s="165"/>
      <c r="O68" s="166"/>
      <c r="P68" s="165"/>
      <c r="Q68" s="166"/>
      <c r="R68" s="165"/>
      <c r="S68" s="166"/>
      <c r="T68" s="165"/>
      <c r="U68" s="166"/>
      <c r="V68" s="165"/>
      <c r="W68" s="166"/>
      <c r="X68" s="165"/>
      <c r="Y68" s="166"/>
      <c r="Z68" s="116"/>
    </row>
    <row r="69" spans="1:26">
      <c r="A69" s="163"/>
      <c r="B69" s="165"/>
      <c r="C69" s="165"/>
      <c r="D69" s="165"/>
      <c r="E69" s="166"/>
      <c r="F69" s="165"/>
      <c r="G69" s="166"/>
      <c r="H69" s="165"/>
      <c r="I69" s="166"/>
      <c r="J69" s="165"/>
      <c r="K69" s="165"/>
      <c r="L69" s="165"/>
      <c r="M69" s="166"/>
      <c r="N69" s="165"/>
      <c r="O69" s="166"/>
      <c r="P69" s="165"/>
      <c r="Q69" s="166"/>
      <c r="R69" s="165"/>
      <c r="S69" s="166"/>
      <c r="T69" s="165"/>
      <c r="U69" s="166"/>
      <c r="V69" s="165"/>
      <c r="W69" s="166"/>
      <c r="X69" s="165"/>
      <c r="Y69" s="166"/>
      <c r="Z69" s="116"/>
    </row>
    <row r="70" spans="1:26">
      <c r="A70" s="163"/>
      <c r="B70" s="165"/>
      <c r="C70" s="165"/>
      <c r="D70" s="165"/>
      <c r="E70" s="166"/>
      <c r="F70" s="165"/>
      <c r="G70" s="166"/>
      <c r="H70" s="165"/>
      <c r="I70" s="166"/>
      <c r="J70" s="165"/>
      <c r="K70" s="165"/>
      <c r="L70" s="165"/>
      <c r="M70" s="166"/>
      <c r="N70" s="165"/>
      <c r="O70" s="166"/>
      <c r="P70" s="165"/>
      <c r="Q70" s="166"/>
      <c r="R70" s="165"/>
      <c r="S70" s="166"/>
      <c r="T70" s="165"/>
      <c r="U70" s="166"/>
      <c r="V70" s="165"/>
      <c r="W70" s="166"/>
      <c r="X70" s="165"/>
      <c r="Y70" s="166"/>
      <c r="Z70" s="116"/>
    </row>
    <row r="71" spans="1:26">
      <c r="A71" s="163"/>
      <c r="B71" s="165"/>
      <c r="C71" s="165"/>
      <c r="D71" s="165"/>
      <c r="E71" s="166"/>
      <c r="F71" s="165"/>
      <c r="G71" s="166"/>
      <c r="H71" s="165"/>
      <c r="I71" s="166"/>
      <c r="J71" s="165"/>
      <c r="K71" s="165"/>
      <c r="L71" s="165"/>
      <c r="M71" s="166"/>
      <c r="N71" s="165"/>
      <c r="O71" s="166"/>
      <c r="P71" s="165"/>
      <c r="Q71" s="166"/>
      <c r="R71" s="165"/>
      <c r="S71" s="166"/>
      <c r="T71" s="165"/>
      <c r="U71" s="166"/>
      <c r="V71" s="165"/>
      <c r="W71" s="166"/>
      <c r="X71" s="165"/>
      <c r="Y71" s="166"/>
      <c r="Z71" s="116"/>
    </row>
    <row r="72" spans="1:26">
      <c r="A72" s="163"/>
      <c r="B72" s="165"/>
      <c r="C72" s="165"/>
      <c r="D72" s="165"/>
      <c r="E72" s="166"/>
      <c r="F72" s="165"/>
      <c r="G72" s="166"/>
      <c r="H72" s="165"/>
      <c r="I72" s="166"/>
      <c r="J72" s="165"/>
      <c r="K72" s="165"/>
      <c r="L72" s="165"/>
      <c r="M72" s="166"/>
      <c r="N72" s="165"/>
      <c r="O72" s="166"/>
      <c r="P72" s="165"/>
      <c r="Q72" s="166"/>
      <c r="R72" s="165"/>
      <c r="S72" s="166"/>
      <c r="T72" s="165"/>
      <c r="U72" s="166"/>
      <c r="V72" s="165"/>
      <c r="W72" s="166"/>
      <c r="X72" s="165"/>
      <c r="Y72" s="166"/>
      <c r="Z72" s="116"/>
    </row>
    <row r="73" spans="1:26">
      <c r="A73" s="163"/>
      <c r="B73" s="165"/>
      <c r="C73" s="165"/>
      <c r="D73" s="165"/>
      <c r="E73" s="166"/>
      <c r="F73" s="165"/>
      <c r="G73" s="166"/>
      <c r="H73" s="165"/>
      <c r="I73" s="166"/>
      <c r="J73" s="165"/>
      <c r="K73" s="165"/>
      <c r="L73" s="165"/>
      <c r="M73" s="166"/>
      <c r="N73" s="165"/>
      <c r="O73" s="166"/>
      <c r="P73" s="165"/>
      <c r="Q73" s="166"/>
      <c r="R73" s="165"/>
      <c r="S73" s="166"/>
      <c r="T73" s="165"/>
      <c r="U73" s="166"/>
      <c r="V73" s="165"/>
      <c r="W73" s="166"/>
      <c r="X73" s="165"/>
      <c r="Y73" s="166"/>
      <c r="Z73" s="116"/>
    </row>
    <row r="74" spans="1:26">
      <c r="A74" s="163"/>
      <c r="B74" s="165"/>
      <c r="C74" s="165"/>
      <c r="D74" s="165"/>
      <c r="E74" s="166"/>
      <c r="F74" s="165"/>
      <c r="G74" s="166"/>
      <c r="H74" s="165"/>
      <c r="I74" s="166"/>
      <c r="J74" s="165"/>
      <c r="K74" s="165"/>
      <c r="L74" s="165"/>
      <c r="M74" s="166"/>
      <c r="N74" s="165"/>
      <c r="O74" s="166"/>
      <c r="P74" s="165"/>
      <c r="Q74" s="166"/>
      <c r="R74" s="165"/>
      <c r="S74" s="166"/>
      <c r="T74" s="165"/>
      <c r="U74" s="166"/>
      <c r="V74" s="165"/>
      <c r="W74" s="166"/>
      <c r="X74" s="165"/>
      <c r="Y74" s="166"/>
      <c r="Z74" s="116"/>
    </row>
    <row r="75" spans="1:26">
      <c r="A75" s="163"/>
      <c r="B75" s="165"/>
      <c r="C75" s="165"/>
      <c r="D75" s="165"/>
      <c r="E75" s="166"/>
      <c r="F75" s="165"/>
      <c r="G75" s="166"/>
      <c r="H75" s="165"/>
      <c r="I75" s="166"/>
      <c r="J75" s="165"/>
      <c r="K75" s="165"/>
      <c r="L75" s="165"/>
      <c r="M75" s="166"/>
      <c r="N75" s="165"/>
      <c r="O75" s="166"/>
      <c r="P75" s="165"/>
      <c r="Q75" s="166"/>
      <c r="R75" s="165"/>
      <c r="S75" s="166"/>
      <c r="T75" s="165"/>
      <c r="U75" s="166"/>
      <c r="V75" s="165"/>
      <c r="W75" s="166"/>
      <c r="X75" s="165"/>
      <c r="Y75" s="166"/>
      <c r="Z75" s="116"/>
    </row>
    <row r="76" spans="1:26">
      <c r="A76" s="163"/>
      <c r="B76" s="165"/>
      <c r="C76" s="165"/>
      <c r="D76" s="165"/>
      <c r="E76" s="166"/>
      <c r="F76" s="165"/>
      <c r="G76" s="166"/>
      <c r="H76" s="165"/>
      <c r="I76" s="166"/>
      <c r="J76" s="165"/>
      <c r="K76" s="165"/>
      <c r="L76" s="165"/>
      <c r="M76" s="166"/>
      <c r="N76" s="165"/>
      <c r="O76" s="166"/>
      <c r="P76" s="165"/>
      <c r="Q76" s="166"/>
      <c r="R76" s="165"/>
      <c r="S76" s="166"/>
      <c r="T76" s="165"/>
      <c r="U76" s="166"/>
      <c r="V76" s="165"/>
      <c r="W76" s="166"/>
      <c r="X76" s="165"/>
      <c r="Y76" s="166"/>
      <c r="Z76" s="116"/>
    </row>
    <row r="77" spans="1:26">
      <c r="A77" s="163"/>
      <c r="B77" s="165"/>
      <c r="C77" s="165"/>
      <c r="D77" s="165"/>
      <c r="E77" s="166"/>
      <c r="F77" s="165"/>
      <c r="G77" s="166"/>
      <c r="H77" s="165"/>
      <c r="I77" s="166"/>
      <c r="J77" s="165"/>
      <c r="K77" s="165"/>
      <c r="L77" s="165"/>
      <c r="M77" s="166"/>
      <c r="N77" s="165"/>
      <c r="O77" s="166"/>
      <c r="P77" s="165"/>
      <c r="Q77" s="166"/>
      <c r="R77" s="165"/>
      <c r="S77" s="166"/>
      <c r="T77" s="165"/>
      <c r="U77" s="166"/>
      <c r="V77" s="165"/>
      <c r="W77" s="166"/>
      <c r="X77" s="165"/>
      <c r="Y77" s="166"/>
      <c r="Z77" s="116"/>
    </row>
    <row r="78" spans="1:26">
      <c r="A78" s="163"/>
      <c r="B78" s="165"/>
      <c r="C78" s="165"/>
      <c r="D78" s="165"/>
      <c r="E78" s="166"/>
      <c r="F78" s="165"/>
      <c r="G78" s="166"/>
      <c r="H78" s="165"/>
      <c r="I78" s="166"/>
      <c r="J78" s="165"/>
      <c r="K78" s="165"/>
      <c r="L78" s="165"/>
      <c r="M78" s="166"/>
      <c r="N78" s="165"/>
      <c r="O78" s="166"/>
      <c r="P78" s="165"/>
      <c r="Q78" s="166"/>
      <c r="R78" s="165"/>
      <c r="S78" s="166"/>
      <c r="T78" s="165"/>
      <c r="U78" s="166"/>
      <c r="V78" s="165"/>
      <c r="W78" s="166"/>
      <c r="X78" s="165"/>
      <c r="Y78" s="166"/>
      <c r="Z78" s="116"/>
    </row>
    <row r="79" spans="1:26">
      <c r="A79" s="163"/>
      <c r="B79" s="165"/>
      <c r="C79" s="165"/>
      <c r="D79" s="165"/>
      <c r="E79" s="166"/>
      <c r="F79" s="165"/>
      <c r="G79" s="166"/>
      <c r="H79" s="165"/>
      <c r="I79" s="166"/>
      <c r="J79" s="165"/>
      <c r="K79" s="165"/>
      <c r="L79" s="165"/>
      <c r="M79" s="166"/>
      <c r="N79" s="165"/>
      <c r="O79" s="166"/>
      <c r="P79" s="165"/>
      <c r="Q79" s="166"/>
      <c r="R79" s="165"/>
      <c r="S79" s="166"/>
      <c r="T79" s="165"/>
      <c r="U79" s="166"/>
      <c r="V79" s="165"/>
      <c r="W79" s="166"/>
      <c r="X79" s="165"/>
      <c r="Y79" s="166"/>
      <c r="Z79" s="116"/>
    </row>
    <row r="80" spans="1:26">
      <c r="A80" s="163"/>
      <c r="B80" s="165"/>
      <c r="C80" s="165"/>
      <c r="D80" s="165"/>
      <c r="E80" s="166"/>
      <c r="F80" s="165"/>
      <c r="G80" s="166"/>
      <c r="H80" s="165"/>
      <c r="I80" s="166"/>
      <c r="J80" s="165"/>
      <c r="K80" s="165"/>
      <c r="L80" s="165"/>
      <c r="M80" s="166"/>
      <c r="N80" s="165"/>
      <c r="O80" s="166"/>
      <c r="P80" s="165"/>
      <c r="Q80" s="166"/>
      <c r="R80" s="165"/>
      <c r="S80" s="166"/>
      <c r="T80" s="165"/>
      <c r="U80" s="166"/>
      <c r="V80" s="165"/>
      <c r="W80" s="166"/>
      <c r="X80" s="165"/>
      <c r="Y80" s="166"/>
      <c r="Z80" s="116"/>
    </row>
    <row r="81" spans="1:26">
      <c r="A81" s="163"/>
      <c r="B81" s="165"/>
      <c r="C81" s="165"/>
      <c r="D81" s="165"/>
      <c r="E81" s="166"/>
      <c r="F81" s="165"/>
      <c r="G81" s="166"/>
      <c r="H81" s="165"/>
      <c r="I81" s="166"/>
      <c r="J81" s="165"/>
      <c r="K81" s="165"/>
      <c r="L81" s="165"/>
      <c r="M81" s="166"/>
      <c r="N81" s="165"/>
      <c r="O81" s="166"/>
      <c r="P81" s="165"/>
      <c r="Q81" s="166"/>
      <c r="R81" s="165"/>
      <c r="S81" s="166"/>
      <c r="T81" s="165"/>
      <c r="U81" s="166"/>
      <c r="V81" s="165"/>
      <c r="W81" s="166"/>
      <c r="X81" s="165"/>
      <c r="Y81" s="166"/>
      <c r="Z81" s="116"/>
    </row>
    <row r="82" spans="1:26">
      <c r="A82" s="163"/>
      <c r="B82" s="165"/>
      <c r="C82" s="165"/>
      <c r="D82" s="165"/>
      <c r="E82" s="166"/>
      <c r="F82" s="165"/>
      <c r="G82" s="166"/>
      <c r="H82" s="165"/>
      <c r="I82" s="166"/>
      <c r="J82" s="165"/>
      <c r="K82" s="165"/>
      <c r="L82" s="165"/>
      <c r="M82" s="166"/>
      <c r="N82" s="165"/>
      <c r="O82" s="166"/>
      <c r="P82" s="165"/>
      <c r="Q82" s="166"/>
      <c r="R82" s="165"/>
      <c r="S82" s="166"/>
      <c r="T82" s="165"/>
      <c r="U82" s="166"/>
      <c r="V82" s="165"/>
      <c r="W82" s="166"/>
      <c r="X82" s="165"/>
      <c r="Y82" s="166"/>
      <c r="Z82" s="116"/>
    </row>
    <row r="83" spans="1:26">
      <c r="A83" s="163"/>
      <c r="B83" s="165"/>
      <c r="C83" s="165"/>
      <c r="D83" s="165"/>
      <c r="E83" s="166"/>
      <c r="F83" s="165"/>
      <c r="G83" s="166"/>
      <c r="H83" s="165"/>
      <c r="I83" s="166"/>
      <c r="J83" s="165"/>
      <c r="K83" s="165"/>
      <c r="L83" s="165"/>
      <c r="M83" s="166"/>
      <c r="N83" s="165"/>
      <c r="O83" s="166"/>
      <c r="P83" s="165"/>
      <c r="Q83" s="166"/>
      <c r="R83" s="165"/>
      <c r="S83" s="166"/>
      <c r="T83" s="165"/>
      <c r="U83" s="166"/>
      <c r="V83" s="165"/>
      <c r="W83" s="166"/>
      <c r="X83" s="165"/>
      <c r="Y83" s="166"/>
      <c r="Z83" s="116"/>
    </row>
    <row r="84" spans="1:26">
      <c r="A84" s="163"/>
      <c r="B84" s="165"/>
      <c r="C84" s="165"/>
      <c r="D84" s="165"/>
      <c r="E84" s="166"/>
      <c r="F84" s="165"/>
      <c r="G84" s="166"/>
      <c r="H84" s="165"/>
      <c r="I84" s="166"/>
      <c r="J84" s="165"/>
      <c r="K84" s="165"/>
      <c r="L84" s="165"/>
      <c r="M84" s="166"/>
      <c r="N84" s="165"/>
      <c r="O84" s="166"/>
      <c r="P84" s="165"/>
      <c r="Q84" s="166"/>
      <c r="R84" s="165"/>
      <c r="S84" s="166"/>
      <c r="T84" s="165"/>
      <c r="U84" s="166"/>
      <c r="V84" s="165"/>
      <c r="W84" s="166"/>
      <c r="X84" s="165"/>
      <c r="Y84" s="166"/>
      <c r="Z84" s="116"/>
    </row>
    <row r="85" spans="1:26">
      <c r="A85" s="163"/>
      <c r="B85" s="165"/>
      <c r="C85" s="165"/>
      <c r="D85" s="165"/>
      <c r="E85" s="166"/>
      <c r="F85" s="165"/>
      <c r="G85" s="166"/>
      <c r="H85" s="165"/>
      <c r="I85" s="166"/>
      <c r="J85" s="165"/>
      <c r="K85" s="165"/>
      <c r="L85" s="165"/>
      <c r="M85" s="166"/>
      <c r="N85" s="165"/>
      <c r="O85" s="166"/>
      <c r="P85" s="165"/>
      <c r="Q85" s="166"/>
      <c r="R85" s="165"/>
      <c r="S85" s="166"/>
      <c r="T85" s="165"/>
      <c r="U85" s="166"/>
      <c r="V85" s="165"/>
      <c r="W85" s="166"/>
      <c r="X85" s="165"/>
      <c r="Y85" s="166"/>
      <c r="Z85" s="116"/>
    </row>
    <row r="86" spans="1:26">
      <c r="A86" s="163"/>
      <c r="B86" s="165"/>
      <c r="C86" s="165"/>
      <c r="D86" s="165"/>
      <c r="E86" s="166"/>
      <c r="F86" s="165"/>
      <c r="G86" s="166"/>
      <c r="H86" s="165"/>
      <c r="I86" s="166"/>
      <c r="J86" s="165"/>
      <c r="K86" s="165"/>
      <c r="L86" s="165"/>
      <c r="M86" s="166"/>
      <c r="N86" s="165"/>
      <c r="O86" s="166"/>
      <c r="P86" s="165"/>
      <c r="Q86" s="166"/>
      <c r="R86" s="165"/>
      <c r="S86" s="166"/>
      <c r="T86" s="165"/>
      <c r="U86" s="166"/>
      <c r="V86" s="165"/>
      <c r="W86" s="166"/>
      <c r="X86" s="165"/>
      <c r="Y86" s="166"/>
      <c r="Z86" s="116"/>
    </row>
    <row r="87" spans="1:26">
      <c r="A87" s="163"/>
      <c r="B87" s="165"/>
      <c r="C87" s="165"/>
      <c r="D87" s="165"/>
      <c r="E87" s="166"/>
      <c r="F87" s="165"/>
      <c r="G87" s="166"/>
      <c r="H87" s="165"/>
      <c r="I87" s="166"/>
      <c r="J87" s="165"/>
      <c r="K87" s="165"/>
      <c r="L87" s="165"/>
      <c r="M87" s="166"/>
      <c r="N87" s="165"/>
      <c r="O87" s="166"/>
      <c r="P87" s="165"/>
      <c r="Q87" s="166"/>
      <c r="R87" s="165"/>
      <c r="S87" s="166"/>
      <c r="T87" s="165"/>
      <c r="U87" s="166"/>
      <c r="V87" s="165"/>
      <c r="W87" s="166"/>
      <c r="X87" s="165"/>
      <c r="Y87" s="166"/>
      <c r="Z87" s="116"/>
    </row>
    <row r="88" spans="1:26">
      <c r="A88" s="163"/>
      <c r="B88" s="165"/>
      <c r="C88" s="165"/>
      <c r="D88" s="165"/>
      <c r="E88" s="166"/>
      <c r="F88" s="165"/>
      <c r="G88" s="166"/>
      <c r="H88" s="165"/>
      <c r="I88" s="166"/>
      <c r="J88" s="165"/>
      <c r="K88" s="165"/>
      <c r="L88" s="165"/>
      <c r="M88" s="166"/>
      <c r="N88" s="165"/>
      <c r="O88" s="166"/>
      <c r="P88" s="165"/>
      <c r="Q88" s="166"/>
      <c r="R88" s="165"/>
      <c r="S88" s="166"/>
      <c r="T88" s="165"/>
      <c r="U88" s="166"/>
      <c r="V88" s="165"/>
      <c r="W88" s="166"/>
      <c r="X88" s="165"/>
      <c r="Y88" s="166"/>
      <c r="Z88" s="116"/>
    </row>
    <row r="89" spans="1:26">
      <c r="A89" s="163"/>
      <c r="B89" s="165"/>
      <c r="C89" s="165"/>
      <c r="D89" s="165"/>
      <c r="E89" s="166"/>
      <c r="F89" s="165"/>
      <c r="G89" s="166"/>
      <c r="H89" s="165"/>
      <c r="I89" s="166"/>
      <c r="J89" s="165"/>
      <c r="K89" s="165"/>
      <c r="L89" s="165"/>
      <c r="M89" s="166"/>
      <c r="N89" s="165"/>
      <c r="O89" s="166"/>
      <c r="P89" s="165"/>
      <c r="Q89" s="166"/>
      <c r="R89" s="165"/>
      <c r="S89" s="166"/>
      <c r="T89" s="165"/>
      <c r="U89" s="166"/>
      <c r="V89" s="165"/>
      <c r="W89" s="166"/>
      <c r="X89" s="165"/>
      <c r="Y89" s="166"/>
      <c r="Z89" s="116"/>
    </row>
    <row r="90" spans="1:26">
      <c r="A90" s="163"/>
      <c r="B90" s="165"/>
      <c r="C90" s="165"/>
      <c r="D90" s="165"/>
      <c r="E90" s="166"/>
      <c r="F90" s="165"/>
      <c r="G90" s="166"/>
      <c r="H90" s="165"/>
      <c r="I90" s="166"/>
      <c r="J90" s="165"/>
      <c r="K90" s="165"/>
      <c r="L90" s="165"/>
      <c r="M90" s="166"/>
      <c r="N90" s="165"/>
      <c r="O90" s="166"/>
      <c r="P90" s="165"/>
      <c r="Q90" s="166"/>
      <c r="R90" s="165"/>
      <c r="S90" s="166"/>
      <c r="T90" s="165"/>
      <c r="U90" s="166"/>
      <c r="V90" s="165"/>
      <c r="W90" s="166"/>
      <c r="X90" s="165"/>
      <c r="Y90" s="166"/>
      <c r="Z90" s="116"/>
    </row>
    <row r="91" spans="1:26">
      <c r="A91" s="163"/>
      <c r="B91" s="165"/>
      <c r="C91" s="165"/>
      <c r="D91" s="165"/>
      <c r="E91" s="166"/>
      <c r="F91" s="165"/>
      <c r="G91" s="166"/>
      <c r="H91" s="165"/>
      <c r="I91" s="166"/>
      <c r="J91" s="165"/>
      <c r="K91" s="165"/>
      <c r="L91" s="165"/>
      <c r="M91" s="166"/>
      <c r="N91" s="165"/>
      <c r="O91" s="166"/>
      <c r="P91" s="165"/>
      <c r="Q91" s="166"/>
      <c r="R91" s="165"/>
      <c r="S91" s="166"/>
      <c r="T91" s="165"/>
      <c r="U91" s="166"/>
      <c r="V91" s="165"/>
      <c r="W91" s="166"/>
      <c r="X91" s="165"/>
      <c r="Y91" s="166"/>
      <c r="Z91" s="116"/>
    </row>
    <row r="92" spans="1:26">
      <c r="A92" s="163"/>
      <c r="B92" s="165"/>
      <c r="C92" s="165"/>
      <c r="D92" s="165"/>
      <c r="E92" s="166"/>
      <c r="F92" s="165"/>
      <c r="G92" s="166"/>
      <c r="H92" s="165"/>
      <c r="I92" s="166"/>
      <c r="J92" s="165"/>
      <c r="K92" s="165"/>
      <c r="L92" s="165"/>
      <c r="M92" s="166"/>
      <c r="N92" s="165"/>
      <c r="O92" s="166"/>
      <c r="P92" s="165"/>
      <c r="Q92" s="166"/>
      <c r="R92" s="165"/>
      <c r="S92" s="166"/>
      <c r="T92" s="165"/>
      <c r="U92" s="166"/>
      <c r="V92" s="165"/>
      <c r="W92" s="166"/>
      <c r="X92" s="165"/>
      <c r="Y92" s="166"/>
      <c r="Z92" s="116"/>
    </row>
    <row r="93" spans="1:26">
      <c r="A93" s="163"/>
      <c r="B93" s="165"/>
      <c r="C93" s="165"/>
      <c r="D93" s="165"/>
      <c r="E93" s="166"/>
      <c r="F93" s="165"/>
      <c r="G93" s="166"/>
      <c r="H93" s="165"/>
      <c r="I93" s="166"/>
      <c r="J93" s="165"/>
      <c r="K93" s="165"/>
      <c r="L93" s="165"/>
      <c r="M93" s="166"/>
      <c r="N93" s="165"/>
      <c r="O93" s="166"/>
      <c r="P93" s="165"/>
      <c r="Q93" s="166"/>
      <c r="R93" s="165"/>
      <c r="S93" s="166"/>
      <c r="T93" s="165"/>
      <c r="U93" s="166"/>
      <c r="V93" s="165"/>
      <c r="W93" s="166"/>
      <c r="X93" s="165"/>
      <c r="Y93" s="166"/>
      <c r="Z93" s="116"/>
    </row>
  </sheetData>
  <sortState xmlns:xlrd2="http://schemas.microsoft.com/office/spreadsheetml/2017/richdata2" ref="A19:AN27">
    <sortCondition ref="A19:A27"/>
  </sortState>
  <customSheetViews>
    <customSheetView guid="{83D69B98-1714-4D17-901F-87B47BE66947}"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10" firstPageNumber="56" orientation="landscape" useFirstPageNumber="1" r:id="rId1"/>
      <headerFooter scaleWithDoc="0" alignWithMargins="0">
        <oddHeader xml:space="preserve">&amp;L&amp;14 </oddHeader>
        <oddFooter>&amp;C&amp;8&amp;P</oddFooter>
      </headerFooter>
    </customSheetView>
    <customSheetView guid="{F9AE1502-86F7-4AAA-AE66-F6A75A634C1B}"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10" firstPageNumber="56" orientation="landscape" useFirstPageNumber="1" r:id="rId2"/>
      <headerFooter scaleWithDoc="0" alignWithMargins="0">
        <oddHeader xml:space="preserve">&amp;L&amp;14 </oddHeader>
        <oddFooter>&amp;C&amp;8&amp;P</oddFooter>
      </headerFooter>
    </customSheetView>
    <customSheetView guid="{C41E3923-0A88-49D0-AE43-0E74D386A056}" scale="80" showPageBreaks="1" showGridLines="0" fitToPage="1" printArea="1" topLeftCell="A5">
      <selection activeCell="B16" sqref="B16"/>
      <colBreaks count="1" manualBreakCount="1">
        <brk id="30" max="54" man="1"/>
      </colBreaks>
      <pageMargins left="0.25" right="0.25" top="0.5" bottom="0.25" header="0" footer="0.25"/>
      <printOptions horizontalCentered="1"/>
      <pageSetup scale="10" firstPageNumber="56" orientation="landscape" useFirstPageNumber="1" r:id="rId3"/>
      <headerFooter scaleWithDoc="0" alignWithMargins="0">
        <oddHeader xml:space="preserve">&amp;L&amp;14 </oddHeader>
        <oddFooter>&amp;C&amp;8&amp;P</oddFooter>
      </headerFooter>
    </customSheetView>
    <customSheetView guid="{1DF171D7-3BFC-49F6-B708-0F91FCFAB6E2}"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42" firstPageNumber="56" orientation="landscape" useFirstPageNumber="1" r:id="rId4"/>
      <headerFooter scaleWithDoc="0" alignWithMargins="0">
        <oddHeader xml:space="preserve">&amp;L&amp;14 </oddHeader>
        <oddFooter>&amp;C&amp;8&amp;P</oddFooter>
      </headerFooter>
    </customSheetView>
    <customSheetView guid="{9F00D83C-7F4F-41B5-9976-8610D9EBC976}"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10" firstPageNumber="56" orientation="landscape" useFirstPageNumber="1" r:id="rId5"/>
      <headerFooter scaleWithDoc="0" alignWithMargins="0">
        <oddHeader xml:space="preserve">&amp;L&amp;14 </oddHeader>
        <oddFooter>&amp;C&amp;8&amp;P</oddFooter>
      </headerFooter>
    </customSheetView>
    <customSheetView guid="{D1467C25-646C-4F1A-9353-0E890E575522}" scale="80" showPageBreaks="1" showGridLines="0" fitToPage="1" printArea="1" topLeftCell="A20">
      <selection activeCell="B15" sqref="B15"/>
      <colBreaks count="1" manualBreakCount="1">
        <brk id="30" max="54" man="1"/>
      </colBreaks>
      <pageMargins left="0.25" right="0.25" top="0.5" bottom="0.25" header="0" footer="0.25"/>
      <printOptions horizontalCentered="1"/>
      <pageSetup scale="10" firstPageNumber="56" orientation="landscape" useFirstPageNumber="1" r:id="rId6"/>
      <headerFooter scaleWithDoc="0" alignWithMargins="0">
        <oddHeader xml:space="preserve">&amp;L&amp;14 </oddHeader>
        <oddFooter>&amp;C&amp;8&amp;P</oddFooter>
      </headerFooter>
    </customSheetView>
    <customSheetView guid="{3A50DD26-AAF5-43D4-97DE-BAE3367A2F29}" scale="80" showPageBreaks="1" showGridLines="0" fitToPage="1" printArea="1" topLeftCell="J1">
      <selection activeCell="B21" sqref="B21"/>
      <colBreaks count="1" manualBreakCount="1">
        <brk id="30" max="54" man="1"/>
      </colBreaks>
      <pageMargins left="0.25" right="0.25" top="0.5" bottom="0.25" header="0" footer="0.25"/>
      <printOptions horizontalCentered="1"/>
      <pageSetup scale="10" firstPageNumber="56" orientation="landscape" useFirstPageNumber="1" r:id="rId7"/>
      <headerFooter scaleWithDoc="0" alignWithMargins="0">
        <oddHeader xml:space="preserve">&amp;L&amp;14 </oddHeader>
        <oddFooter>&amp;C&amp;8&amp;P</oddFooter>
      </headerFooter>
    </customSheetView>
    <customSheetView guid="{C3636880-B45B-4897-94F2-F91976416934}" scale="80" showPageBreaks="1" showGridLines="0" fitToPage="1" printArea="1" topLeftCell="A12">
      <selection activeCell="B21" sqref="B21"/>
      <colBreaks count="1" manualBreakCount="1">
        <brk id="30" max="54" man="1"/>
      </colBreaks>
      <pageMargins left="0.25" right="0.25" top="0.5" bottom="0.25" header="0" footer="0.25"/>
      <printOptions horizontalCentered="1"/>
      <pageSetup scale="42" firstPageNumber="56" orientation="landscape" useFirstPageNumber="1" r:id="rId8"/>
      <headerFooter scaleWithDoc="0" alignWithMargins="0">
        <oddHeader xml:space="preserve">&amp;L&amp;14 </oddHeader>
        <oddFooter>&amp;C&amp;8&amp;P</oddFooter>
      </headerFooter>
    </customSheetView>
  </customSheetViews>
  <printOptions horizontalCentered="1"/>
  <pageMargins left="0.25" right="0.25" top="0.5" bottom="0.25" header="0" footer="0.25"/>
  <pageSetup scale="42" firstPageNumber="56" orientation="landscape" useFirstPageNumber="1" r:id="rId9"/>
  <headerFooter scaleWithDoc="0" alignWithMargins="0">
    <oddHeader xml:space="preserve">&amp;L&amp;14 </oddHeader>
    <oddFooter>&amp;C&amp;8&amp;P</oddFooter>
  </headerFooter>
  <colBreaks count="1" manualBreakCount="1">
    <brk id="30" max="54" man="1"/>
  </colBreaks>
  <customProperties>
    <customPr name="SheetOptions" r:id="rId10"/>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L70"/>
  <sheetViews>
    <sheetView showGridLines="0" zoomScale="88" zoomScaleNormal="70" workbookViewId="0"/>
  </sheetViews>
  <sheetFormatPr defaultColWidth="8.88671875" defaultRowHeight="17.25" customHeight="1"/>
  <cols>
    <col min="1" max="1" width="56.109375" style="1278" customWidth="1"/>
    <col min="2" max="2" width="2.109375" style="1277" customWidth="1"/>
    <col min="3" max="4" width="24" style="1278" customWidth="1"/>
    <col min="5" max="5" width="24" style="1951" customWidth="1"/>
    <col min="6" max="6" width="2" style="1278" customWidth="1"/>
    <col min="7" max="7" width="24" style="1878" customWidth="1"/>
    <col min="8" max="9" width="24" style="1277" customWidth="1"/>
    <col min="10" max="10" width="18.5546875" style="1277" customWidth="1"/>
    <col min="11" max="11" width="18" style="1277" customWidth="1"/>
    <col min="12" max="16384" width="8.88671875" style="1277"/>
  </cols>
  <sheetData>
    <row r="1" spans="1:11" ht="17.25" customHeight="1">
      <c r="A1" s="265" t="s">
        <v>97</v>
      </c>
    </row>
    <row r="3" spans="1:11" ht="25.35" customHeight="1">
      <c r="A3" s="1280" t="s">
        <v>98</v>
      </c>
      <c r="C3" s="1879"/>
      <c r="D3" s="1879"/>
      <c r="E3" s="1952"/>
      <c r="F3" s="1879"/>
      <c r="H3" s="1880" t="s">
        <v>103</v>
      </c>
      <c r="I3" s="1881" t="s">
        <v>1342</v>
      </c>
    </row>
    <row r="4" spans="1:11" ht="25.35" customHeight="1">
      <c r="A4" s="1280" t="s">
        <v>1343</v>
      </c>
      <c r="C4" s="1879"/>
      <c r="D4" s="1879"/>
      <c r="E4" s="1952"/>
      <c r="F4" s="1879"/>
    </row>
    <row r="5" spans="1:11" ht="21" customHeight="1">
      <c r="A5" s="1281" t="str">
        <f>'Cashflow Governmental'!A6</f>
        <v>FISCAL YEAR 2026-2027</v>
      </c>
      <c r="C5" s="1879"/>
      <c r="D5" s="1879"/>
      <c r="E5" s="1952"/>
      <c r="F5" s="1879"/>
    </row>
    <row r="6" spans="1:11" ht="17.25" customHeight="1">
      <c r="A6" s="1282"/>
      <c r="C6" s="1879"/>
      <c r="D6" s="1879"/>
      <c r="E6" s="1952"/>
      <c r="F6" s="1879"/>
    </row>
    <row r="7" spans="1:11" ht="17.25" customHeight="1">
      <c r="A7" s="1283"/>
      <c r="B7" s="1284"/>
      <c r="C7" s="2085" t="str">
        <f>Footnotes!$O$3</f>
        <v>JUNE 2026</v>
      </c>
      <c r="D7" s="2085"/>
      <c r="E7" s="2085"/>
      <c r="F7" s="1882"/>
      <c r="G7" s="2086" t="str">
        <f>UPPER('Cashflow Governmental'!$AB$12)</f>
        <v>3 MONTHS ENDED JUNE 30</v>
      </c>
      <c r="H7" s="2086"/>
      <c r="I7" s="2086"/>
    </row>
    <row r="8" spans="1:11" ht="17.25" customHeight="1">
      <c r="A8" s="1283"/>
      <c r="B8" s="1284"/>
      <c r="C8" s="1283"/>
      <c r="D8" s="1283"/>
      <c r="E8" s="1283"/>
      <c r="F8" s="1283"/>
      <c r="G8" s="1883"/>
      <c r="H8" s="1284"/>
      <c r="I8" s="1284"/>
    </row>
    <row r="9" spans="1:11" ht="17.25" customHeight="1">
      <c r="A9" s="1285"/>
      <c r="B9" s="1284"/>
      <c r="C9" s="1285" t="s">
        <v>1344</v>
      </c>
      <c r="D9" s="1285" t="s">
        <v>1345</v>
      </c>
      <c r="E9" s="1285" t="str">
        <f>PROPER(_xlfn.TEXTBEFORE(C7," "))</f>
        <v>June</v>
      </c>
      <c r="F9" s="1285"/>
      <c r="G9" s="1285" t="s">
        <v>1344</v>
      </c>
      <c r="H9" s="1285" t="s">
        <v>1345</v>
      </c>
      <c r="I9" s="1884" t="s">
        <v>1346</v>
      </c>
    </row>
    <row r="10" spans="1:11" s="1288" customFormat="1" ht="17.25" customHeight="1">
      <c r="A10" s="932"/>
      <c r="B10" s="1287"/>
      <c r="C10" s="1885"/>
      <c r="D10" s="1885"/>
      <c r="E10" s="1885"/>
      <c r="F10" s="1885"/>
      <c r="G10" s="2005"/>
      <c r="H10" s="2005"/>
      <c r="I10" s="2005"/>
    </row>
    <row r="11" spans="1:11" s="1291" customFormat="1" ht="17.25" customHeight="1">
      <c r="A11" s="1289" t="s">
        <v>1347</v>
      </c>
      <c r="B11" s="1290"/>
      <c r="C11" s="1258">
        <v>0</v>
      </c>
      <c r="D11" s="1258">
        <v>148715416</v>
      </c>
      <c r="E11" s="933">
        <f t="shared" ref="E11:E51" si="0">C11+D11</f>
        <v>148715416</v>
      </c>
      <c r="F11" s="933"/>
      <c r="G11" s="1258">
        <v>0</v>
      </c>
      <c r="H11" s="1258">
        <v>148715416</v>
      </c>
      <c r="I11" s="933">
        <f t="shared" ref="I11:I51" si="1">G11+H11</f>
        <v>148715416</v>
      </c>
      <c r="J11" s="1821"/>
      <c r="K11" s="1822"/>
    </row>
    <row r="12" spans="1:11" s="1291" customFormat="1" ht="17.25" customHeight="1">
      <c r="A12" s="1289" t="s">
        <v>1348</v>
      </c>
      <c r="B12" s="1290"/>
      <c r="C12" s="1259">
        <v>46338463</v>
      </c>
      <c r="D12" s="1982">
        <v>1022728.1</v>
      </c>
      <c r="E12" s="1983">
        <f t="shared" si="0"/>
        <v>47361191.100000001</v>
      </c>
      <c r="F12" s="1983"/>
      <c r="G12" s="1259">
        <v>46338463</v>
      </c>
      <c r="H12" s="1982">
        <v>2901308.11</v>
      </c>
      <c r="I12" s="912">
        <f t="shared" si="1"/>
        <v>49239771.109999999</v>
      </c>
      <c r="J12" s="1821"/>
      <c r="K12" s="1822"/>
    </row>
    <row r="13" spans="1:11" s="1291" customFormat="1" ht="17.25" customHeight="1">
      <c r="A13" s="1292" t="s">
        <v>1349</v>
      </c>
      <c r="B13" s="1293"/>
      <c r="C13" s="1259">
        <v>-29580888.050000001</v>
      </c>
      <c r="D13" s="1982">
        <v>46694860</v>
      </c>
      <c r="E13" s="1983">
        <f t="shared" si="0"/>
        <v>17113971.949999999</v>
      </c>
      <c r="F13" s="1983"/>
      <c r="G13" s="1259">
        <v>173428138.68000001</v>
      </c>
      <c r="H13" s="1982">
        <v>46694860</v>
      </c>
      <c r="I13" s="912">
        <f t="shared" si="1"/>
        <v>220122998.68000001</v>
      </c>
      <c r="J13" s="1821"/>
      <c r="K13" s="1822"/>
    </row>
    <row r="14" spans="1:11" s="1291" customFormat="1" ht="17.25" customHeight="1">
      <c r="A14" s="1292" t="s">
        <v>1451</v>
      </c>
      <c r="B14" s="1293"/>
      <c r="C14" s="1259">
        <v>0</v>
      </c>
      <c r="D14" s="1982">
        <v>829317045</v>
      </c>
      <c r="E14" s="1983">
        <f t="shared" si="0"/>
        <v>829317045</v>
      </c>
      <c r="F14" s="1983"/>
      <c r="G14" s="1259">
        <v>0</v>
      </c>
      <c r="H14" s="1982">
        <f>D14</f>
        <v>829317045</v>
      </c>
      <c r="I14" s="912">
        <f t="shared" si="1"/>
        <v>829317045</v>
      </c>
      <c r="J14" s="1821"/>
      <c r="K14" s="1822"/>
    </row>
    <row r="15" spans="1:11" s="1291" customFormat="1" ht="17.25" customHeight="1">
      <c r="A15" s="1289" t="s">
        <v>1466</v>
      </c>
      <c r="B15" s="1290"/>
      <c r="C15" s="1259">
        <v>0</v>
      </c>
      <c r="D15" s="1982">
        <v>0</v>
      </c>
      <c r="E15" s="1983">
        <f t="shared" si="0"/>
        <v>0</v>
      </c>
      <c r="F15" s="1983"/>
      <c r="G15" s="1259">
        <v>0</v>
      </c>
      <c r="H15" s="1982">
        <v>0</v>
      </c>
      <c r="I15" s="912">
        <f t="shared" si="1"/>
        <v>0</v>
      </c>
      <c r="J15" s="1821"/>
      <c r="K15" s="1822"/>
    </row>
    <row r="16" spans="1:11" s="1291" customFormat="1" ht="17.25" customHeight="1">
      <c r="A16" s="1289" t="s">
        <v>1350</v>
      </c>
      <c r="B16" s="1290"/>
      <c r="C16" s="1259">
        <v>3136972.1</v>
      </c>
      <c r="D16" s="1982">
        <v>0</v>
      </c>
      <c r="E16" s="1983">
        <f t="shared" si="0"/>
        <v>3136972.1</v>
      </c>
      <c r="F16" s="1983"/>
      <c r="G16" s="1259">
        <v>4022807.13</v>
      </c>
      <c r="H16" s="1982">
        <v>0</v>
      </c>
      <c r="I16" s="912">
        <f t="shared" si="1"/>
        <v>4022807.13</v>
      </c>
      <c r="J16" s="1821"/>
      <c r="K16" s="1822"/>
    </row>
    <row r="17" spans="1:11" s="1291" customFormat="1" ht="17.25" customHeight="1">
      <c r="A17" s="1289" t="s">
        <v>1351</v>
      </c>
      <c r="B17" s="1290"/>
      <c r="C17" s="1259">
        <v>0</v>
      </c>
      <c r="D17" s="1982">
        <v>0</v>
      </c>
      <c r="E17" s="1983">
        <f t="shared" si="0"/>
        <v>0</v>
      </c>
      <c r="F17" s="1983"/>
      <c r="G17" s="1259">
        <v>97621.900000000009</v>
      </c>
      <c r="H17" s="1982">
        <v>0</v>
      </c>
      <c r="I17" s="912">
        <f t="shared" si="1"/>
        <v>97621.900000000009</v>
      </c>
      <c r="J17" s="1821"/>
      <c r="K17" s="1822"/>
    </row>
    <row r="18" spans="1:11" s="1291" customFormat="1" ht="17.25" customHeight="1">
      <c r="A18" s="1289" t="s">
        <v>1486</v>
      </c>
      <c r="B18" s="1290"/>
      <c r="C18" s="1259">
        <v>921601.56</v>
      </c>
      <c r="D18" s="1982">
        <v>0</v>
      </c>
      <c r="E18" s="1983">
        <f t="shared" si="0"/>
        <v>921601.56</v>
      </c>
      <c r="F18" s="1983"/>
      <c r="G18" s="1259">
        <v>6256385.5999999996</v>
      </c>
      <c r="H18" s="1982">
        <v>0</v>
      </c>
      <c r="I18" s="912">
        <f t="shared" si="1"/>
        <v>6256385.5999999996</v>
      </c>
      <c r="J18" s="1821"/>
      <c r="K18" s="1822"/>
    </row>
    <row r="19" spans="1:11" s="1291" customFormat="1" ht="17.25" customHeight="1">
      <c r="A19" s="1289" t="s">
        <v>1352</v>
      </c>
      <c r="B19" s="1290"/>
      <c r="C19" s="1259">
        <v>32183.43</v>
      </c>
      <c r="D19" s="1982">
        <v>0</v>
      </c>
      <c r="E19" s="1983">
        <f t="shared" si="0"/>
        <v>32183.43</v>
      </c>
      <c r="F19" s="1983"/>
      <c r="G19" s="1259">
        <v>72203.930000000008</v>
      </c>
      <c r="H19" s="1982">
        <v>0</v>
      </c>
      <c r="I19" s="912">
        <f t="shared" si="1"/>
        <v>72203.930000000008</v>
      </c>
      <c r="J19" s="1821"/>
      <c r="K19" s="1822"/>
    </row>
    <row r="20" spans="1:11" s="1291" customFormat="1" ht="17.25" customHeight="1">
      <c r="A20" s="1289" t="s">
        <v>1467</v>
      </c>
      <c r="B20" s="1290"/>
      <c r="C20" s="1259">
        <v>0</v>
      </c>
      <c r="D20" s="1982">
        <v>0</v>
      </c>
      <c r="E20" s="1983">
        <f t="shared" si="0"/>
        <v>0</v>
      </c>
      <c r="F20" s="1983"/>
      <c r="G20" s="1259">
        <v>0</v>
      </c>
      <c r="H20" s="1982">
        <v>0</v>
      </c>
      <c r="I20" s="912">
        <f t="shared" si="1"/>
        <v>0</v>
      </c>
      <c r="K20" s="1822"/>
    </row>
    <row r="21" spans="1:11" s="1291" customFormat="1" ht="17.25" customHeight="1">
      <c r="A21" s="1289" t="s">
        <v>1353</v>
      </c>
      <c r="B21" s="1290"/>
      <c r="C21" s="1259">
        <v>0</v>
      </c>
      <c r="D21" s="1982">
        <v>8634.09</v>
      </c>
      <c r="E21" s="1983">
        <f t="shared" si="0"/>
        <v>8634.09</v>
      </c>
      <c r="F21" s="1983"/>
      <c r="G21" s="1259">
        <v>0</v>
      </c>
      <c r="H21" s="1982">
        <v>136522.6</v>
      </c>
      <c r="I21" s="912">
        <f t="shared" si="1"/>
        <v>136522.6</v>
      </c>
      <c r="J21" s="1821"/>
      <c r="K21" s="1822"/>
    </row>
    <row r="22" spans="1:11" s="1291" customFormat="1" ht="17.25" customHeight="1">
      <c r="A22" s="1289" t="s">
        <v>1354</v>
      </c>
      <c r="B22" s="1290"/>
      <c r="C22" s="1259">
        <v>0</v>
      </c>
      <c r="D22" s="1982">
        <v>0</v>
      </c>
      <c r="E22" s="1983">
        <f t="shared" si="0"/>
        <v>0</v>
      </c>
      <c r="F22" s="1983"/>
      <c r="G22" s="1259">
        <v>0</v>
      </c>
      <c r="H22" s="1982">
        <v>0</v>
      </c>
      <c r="I22" s="912">
        <f t="shared" si="1"/>
        <v>0</v>
      </c>
      <c r="J22" s="1821"/>
      <c r="K22" s="1822"/>
    </row>
    <row r="23" spans="1:11" s="1291" customFormat="1" ht="17.25" customHeight="1">
      <c r="A23" s="1289" t="s">
        <v>1355</v>
      </c>
      <c r="B23" s="1290"/>
      <c r="C23" s="1259">
        <v>0</v>
      </c>
      <c r="D23" s="1982">
        <v>0</v>
      </c>
      <c r="E23" s="1983">
        <f t="shared" si="0"/>
        <v>0</v>
      </c>
      <c r="F23" s="1983"/>
      <c r="G23" s="1259">
        <v>207442.61000000002</v>
      </c>
      <c r="H23" s="1982">
        <v>0</v>
      </c>
      <c r="I23" s="912">
        <f t="shared" si="1"/>
        <v>207442.61000000002</v>
      </c>
      <c r="J23" s="1821"/>
      <c r="K23" s="1822"/>
    </row>
    <row r="24" spans="1:11" s="1291" customFormat="1" ht="17.25" customHeight="1">
      <c r="A24" s="1289" t="s">
        <v>1356</v>
      </c>
      <c r="B24" s="1290"/>
      <c r="C24" s="1259">
        <v>704689.74</v>
      </c>
      <c r="D24" s="1982">
        <v>0</v>
      </c>
      <c r="E24" s="1983">
        <f t="shared" si="0"/>
        <v>704689.74</v>
      </c>
      <c r="F24" s="1983"/>
      <c r="G24" s="1259">
        <v>1883993.17</v>
      </c>
      <c r="H24" s="1982">
        <v>0</v>
      </c>
      <c r="I24" s="912">
        <f t="shared" si="1"/>
        <v>1883993.17</v>
      </c>
      <c r="J24" s="1821"/>
      <c r="K24" s="1822"/>
    </row>
    <row r="25" spans="1:11" s="1291" customFormat="1" ht="17.25" customHeight="1">
      <c r="A25" s="1289" t="s">
        <v>1357</v>
      </c>
      <c r="B25" s="1290"/>
      <c r="C25" s="1259">
        <v>75600000</v>
      </c>
      <c r="D25" s="1982">
        <v>0</v>
      </c>
      <c r="E25" s="1983">
        <f t="shared" si="0"/>
        <v>75600000</v>
      </c>
      <c r="F25" s="1983"/>
      <c r="G25" s="1259">
        <v>151150000</v>
      </c>
      <c r="H25" s="1982">
        <v>0</v>
      </c>
      <c r="I25" s="912">
        <f t="shared" si="1"/>
        <v>151150000</v>
      </c>
      <c r="J25" s="1821"/>
      <c r="K25" s="1822"/>
    </row>
    <row r="26" spans="1:11" s="1291" customFormat="1" ht="17.25" customHeight="1">
      <c r="A26" s="1289" t="s">
        <v>1358</v>
      </c>
      <c r="B26" s="1290"/>
      <c r="C26" s="1259">
        <v>446936.36</v>
      </c>
      <c r="D26" s="1982">
        <v>0</v>
      </c>
      <c r="E26" s="1983">
        <f t="shared" si="0"/>
        <v>446936.36</v>
      </c>
      <c r="F26" s="1983"/>
      <c r="G26" s="1259">
        <v>2612740.23</v>
      </c>
      <c r="H26" s="1982">
        <v>0</v>
      </c>
      <c r="I26" s="912">
        <f t="shared" si="1"/>
        <v>2612740.23</v>
      </c>
      <c r="J26" s="1821"/>
      <c r="K26" s="1822"/>
    </row>
    <row r="27" spans="1:11" s="1291" customFormat="1" ht="17.25" customHeight="1">
      <c r="A27" s="1289" t="s">
        <v>1359</v>
      </c>
      <c r="B27" s="1290"/>
      <c r="C27" s="1259">
        <v>1644119.35</v>
      </c>
      <c r="D27" s="1982">
        <v>0</v>
      </c>
      <c r="E27" s="1983">
        <f t="shared" si="0"/>
        <v>1644119.35</v>
      </c>
      <c r="F27" s="1983"/>
      <c r="G27" s="1259">
        <v>4177314.66</v>
      </c>
      <c r="H27" s="1982">
        <v>0</v>
      </c>
      <c r="I27" s="912">
        <f t="shared" si="1"/>
        <v>4177314.66</v>
      </c>
      <c r="J27" s="1821"/>
      <c r="K27" s="1822"/>
    </row>
    <row r="28" spans="1:11" s="1291" customFormat="1" ht="17.25" customHeight="1">
      <c r="A28" s="1289" t="s">
        <v>1360</v>
      </c>
      <c r="B28" s="1290"/>
      <c r="C28" s="1259">
        <v>6377795.5800000001</v>
      </c>
      <c r="D28" s="1982">
        <v>1580617.8900000001</v>
      </c>
      <c r="E28" s="1983">
        <f t="shared" si="0"/>
        <v>7958413.4700000007</v>
      </c>
      <c r="F28" s="1983"/>
      <c r="G28" s="1259">
        <v>20677445.399999999</v>
      </c>
      <c r="H28" s="1982">
        <v>3521419.23</v>
      </c>
      <c r="I28" s="912">
        <f t="shared" si="1"/>
        <v>24198864.629999999</v>
      </c>
      <c r="J28" s="1821"/>
      <c r="K28" s="1822"/>
    </row>
    <row r="29" spans="1:11" s="1291" customFormat="1" ht="17.25" customHeight="1">
      <c r="A29" s="1289" t="s">
        <v>1361</v>
      </c>
      <c r="B29" s="1290"/>
      <c r="C29" s="1259">
        <v>0</v>
      </c>
      <c r="D29" s="1982">
        <v>0</v>
      </c>
      <c r="E29" s="1983">
        <f t="shared" si="0"/>
        <v>0</v>
      </c>
      <c r="F29" s="1983"/>
      <c r="G29" s="1259">
        <v>0</v>
      </c>
      <c r="H29" s="1982">
        <v>0</v>
      </c>
      <c r="I29" s="912">
        <f t="shared" si="1"/>
        <v>0</v>
      </c>
      <c r="J29" s="1821"/>
      <c r="K29" s="1822"/>
    </row>
    <row r="30" spans="1:11" s="1291" customFormat="1" ht="17.25" customHeight="1">
      <c r="A30" s="1289" t="s">
        <v>1362</v>
      </c>
      <c r="B30" s="1290"/>
      <c r="C30" s="1259">
        <v>86673598.5</v>
      </c>
      <c r="D30" s="1982">
        <v>0</v>
      </c>
      <c r="E30" s="1983">
        <f t="shared" si="0"/>
        <v>86673598.5</v>
      </c>
      <c r="F30" s="1983"/>
      <c r="G30" s="1259">
        <v>325940182.55000001</v>
      </c>
      <c r="H30" s="1982">
        <v>0</v>
      </c>
      <c r="I30" s="912">
        <f t="shared" si="1"/>
        <v>325940182.55000001</v>
      </c>
      <c r="J30" s="1821"/>
      <c r="K30" s="1822"/>
    </row>
    <row r="31" spans="1:11" s="1291" customFormat="1" ht="17.25" customHeight="1">
      <c r="A31" s="1289" t="s">
        <v>1363</v>
      </c>
      <c r="B31" s="1290"/>
      <c r="C31" s="1259">
        <v>0</v>
      </c>
      <c r="D31" s="1982">
        <v>0</v>
      </c>
      <c r="E31" s="1983">
        <f t="shared" si="0"/>
        <v>0</v>
      </c>
      <c r="F31" s="1983"/>
      <c r="G31" s="1259">
        <v>0</v>
      </c>
      <c r="H31" s="1982">
        <v>0</v>
      </c>
      <c r="I31" s="912">
        <f t="shared" si="1"/>
        <v>0</v>
      </c>
      <c r="J31" s="1821"/>
      <c r="K31" s="1822"/>
    </row>
    <row r="32" spans="1:11" s="1291" customFormat="1" ht="17.25" customHeight="1">
      <c r="A32" s="1289" t="s">
        <v>1364</v>
      </c>
      <c r="B32" s="1290"/>
      <c r="C32" s="1259">
        <v>19319163.420000002</v>
      </c>
      <c r="D32" s="1982">
        <v>0</v>
      </c>
      <c r="E32" s="1983">
        <f t="shared" si="0"/>
        <v>19319163.420000002</v>
      </c>
      <c r="F32" s="1983"/>
      <c r="G32" s="1259">
        <v>64254300.039999999</v>
      </c>
      <c r="H32" s="1982">
        <v>0</v>
      </c>
      <c r="I32" s="912">
        <f t="shared" si="1"/>
        <v>64254300.039999999</v>
      </c>
      <c r="J32" s="1821"/>
      <c r="K32" s="1822"/>
    </row>
    <row r="33" spans="1:11" s="1291" customFormat="1" ht="17.25" customHeight="1">
      <c r="A33" s="1289" t="s">
        <v>1365</v>
      </c>
      <c r="B33" s="1290"/>
      <c r="C33" s="1259">
        <v>32406571.57</v>
      </c>
      <c r="D33" s="1982">
        <v>0</v>
      </c>
      <c r="E33" s="1983">
        <f t="shared" si="0"/>
        <v>32406571.57</v>
      </c>
      <c r="F33" s="1983"/>
      <c r="G33" s="1259">
        <v>104643360.86</v>
      </c>
      <c r="H33" s="1982">
        <v>0</v>
      </c>
      <c r="I33" s="912">
        <f t="shared" si="1"/>
        <v>104643360.86</v>
      </c>
      <c r="J33" s="1821"/>
      <c r="K33" s="1822"/>
    </row>
    <row r="34" spans="1:11" s="1291" customFormat="1" ht="17.25" customHeight="1">
      <c r="A34" s="1289" t="s">
        <v>1366</v>
      </c>
      <c r="B34" s="1290"/>
      <c r="C34" s="1259">
        <v>121834480.55</v>
      </c>
      <c r="D34" s="1982">
        <v>0</v>
      </c>
      <c r="E34" s="1983">
        <f t="shared" si="0"/>
        <v>121834480.55</v>
      </c>
      <c r="F34" s="1983"/>
      <c r="G34" s="1259">
        <v>380540557.25999999</v>
      </c>
      <c r="H34" s="1982">
        <v>0</v>
      </c>
      <c r="I34" s="912">
        <f t="shared" si="1"/>
        <v>380540557.25999999</v>
      </c>
      <c r="J34" s="1821"/>
      <c r="K34" s="1822"/>
    </row>
    <row r="35" spans="1:11" s="1291" customFormat="1" ht="17.25" customHeight="1">
      <c r="A35" s="1289" t="s">
        <v>1367</v>
      </c>
      <c r="B35" s="1290"/>
      <c r="C35" s="1259">
        <v>-680998789.74000001</v>
      </c>
      <c r="D35" s="1982">
        <v>0</v>
      </c>
      <c r="E35" s="1983">
        <f t="shared" si="0"/>
        <v>-680998789.74000001</v>
      </c>
      <c r="F35" s="1983"/>
      <c r="G35" s="1259">
        <v>1860945548.4300001</v>
      </c>
      <c r="H35" s="1982">
        <v>0</v>
      </c>
      <c r="I35" s="912">
        <f t="shared" si="1"/>
        <v>1860945548.4300001</v>
      </c>
      <c r="J35" s="1821"/>
      <c r="K35" s="1822"/>
    </row>
    <row r="36" spans="1:11" s="1291" customFormat="1" ht="17.25" customHeight="1">
      <c r="A36" s="1289" t="s">
        <v>1368</v>
      </c>
      <c r="B36" s="1290"/>
      <c r="C36" s="1259">
        <v>-144660152.00999999</v>
      </c>
      <c r="D36" s="1982">
        <v>0</v>
      </c>
      <c r="E36" s="1983">
        <f t="shared" si="0"/>
        <v>-144660152.00999999</v>
      </c>
      <c r="F36" s="1983"/>
      <c r="G36" s="1259">
        <v>1737404339.7199998</v>
      </c>
      <c r="H36" s="1982">
        <v>0</v>
      </c>
      <c r="I36" s="912">
        <f t="shared" si="1"/>
        <v>1737404339.7199998</v>
      </c>
      <c r="J36" s="1821"/>
      <c r="K36" s="1822"/>
    </row>
    <row r="37" spans="1:11" s="1291" customFormat="1" ht="17.25" customHeight="1">
      <c r="A37" s="1289" t="s">
        <v>1369</v>
      </c>
      <c r="B37" s="1290"/>
      <c r="C37" s="1259">
        <v>137417360.38999999</v>
      </c>
      <c r="D37" s="1982">
        <v>0</v>
      </c>
      <c r="E37" s="1983">
        <f t="shared" si="0"/>
        <v>137417360.38999999</v>
      </c>
      <c r="F37" s="1983"/>
      <c r="G37" s="1259">
        <v>763856476.27999997</v>
      </c>
      <c r="H37" s="1982">
        <v>0</v>
      </c>
      <c r="I37" s="912">
        <f t="shared" si="1"/>
        <v>763856476.27999997</v>
      </c>
      <c r="J37" s="1821"/>
      <c r="K37" s="1822"/>
    </row>
    <row r="38" spans="1:11" s="1291" customFormat="1" ht="17.25" customHeight="1">
      <c r="A38" s="1289" t="s">
        <v>1370</v>
      </c>
      <c r="B38" s="1290"/>
      <c r="C38" s="1259">
        <v>25300591.559999999</v>
      </c>
      <c r="D38" s="1982">
        <v>0</v>
      </c>
      <c r="E38" s="1983">
        <f t="shared" si="0"/>
        <v>25300591.559999999</v>
      </c>
      <c r="F38" s="1983"/>
      <c r="G38" s="1259">
        <v>79709227.200000003</v>
      </c>
      <c r="H38" s="1982">
        <v>0</v>
      </c>
      <c r="I38" s="912">
        <f t="shared" si="1"/>
        <v>79709227.200000003</v>
      </c>
      <c r="J38" s="1821"/>
      <c r="K38" s="1822"/>
    </row>
    <row r="39" spans="1:11" s="1291" customFormat="1" ht="17.25" customHeight="1">
      <c r="A39" s="1289" t="s">
        <v>1371</v>
      </c>
      <c r="B39" s="1290"/>
      <c r="C39" s="1259">
        <v>184864.96</v>
      </c>
      <c r="D39" s="1982">
        <v>0</v>
      </c>
      <c r="E39" s="1983">
        <f t="shared" si="0"/>
        <v>184864.96</v>
      </c>
      <c r="F39" s="1983"/>
      <c r="G39" s="1259">
        <v>613171.71</v>
      </c>
      <c r="H39" s="1982">
        <v>0</v>
      </c>
      <c r="I39" s="912">
        <f t="shared" si="1"/>
        <v>613171.71</v>
      </c>
      <c r="J39" s="1821"/>
      <c r="K39" s="1822"/>
    </row>
    <row r="40" spans="1:11" s="1291" customFormat="1" ht="17.25" customHeight="1">
      <c r="A40" s="1292" t="s">
        <v>1372</v>
      </c>
      <c r="B40" s="1290"/>
      <c r="C40" s="1259">
        <v>646091938.42999995</v>
      </c>
      <c r="D40" s="1982">
        <v>496515</v>
      </c>
      <c r="E40" s="1983">
        <f t="shared" si="0"/>
        <v>646588453.42999995</v>
      </c>
      <c r="F40" s="1983"/>
      <c r="G40" s="1259">
        <v>2885159601.29</v>
      </c>
      <c r="H40" s="1982">
        <v>496515</v>
      </c>
      <c r="I40" s="912">
        <f t="shared" si="1"/>
        <v>2885656116.29</v>
      </c>
      <c r="J40" s="1821"/>
      <c r="K40" s="1822"/>
    </row>
    <row r="41" spans="1:11" s="1291" customFormat="1" ht="17.25" customHeight="1">
      <c r="A41" s="1289" t="s">
        <v>1373</v>
      </c>
      <c r="B41" s="1290"/>
      <c r="C41" s="1259">
        <v>202979104.08000001</v>
      </c>
      <c r="D41" s="1982">
        <v>0</v>
      </c>
      <c r="E41" s="1983">
        <f t="shared" si="0"/>
        <v>202979104.08000001</v>
      </c>
      <c r="F41" s="1983"/>
      <c r="G41" s="1259">
        <v>472033818.75999999</v>
      </c>
      <c r="H41" s="1982">
        <v>0</v>
      </c>
      <c r="I41" s="912">
        <f t="shared" si="1"/>
        <v>472033818.75999999</v>
      </c>
      <c r="J41" s="1821"/>
      <c r="K41" s="1822"/>
    </row>
    <row r="42" spans="1:11" s="1291" customFormat="1" ht="17.25" customHeight="1">
      <c r="A42" s="1289" t="s">
        <v>1374</v>
      </c>
      <c r="B42" s="1290"/>
      <c r="C42" s="1259">
        <f>0</f>
        <v>0</v>
      </c>
      <c r="D42" s="1982">
        <v>0</v>
      </c>
      <c r="E42" s="1983">
        <f t="shared" si="0"/>
        <v>0</v>
      </c>
      <c r="F42" s="1983"/>
      <c r="G42" s="1259">
        <v>0</v>
      </c>
      <c r="H42" s="1982">
        <v>0</v>
      </c>
      <c r="I42" s="912">
        <f t="shared" si="1"/>
        <v>0</v>
      </c>
      <c r="J42" s="1821"/>
      <c r="K42" s="1822"/>
    </row>
    <row r="43" spans="1:11" s="1291" customFormat="1" ht="17.25" customHeight="1">
      <c r="A43" s="1289" t="s">
        <v>1375</v>
      </c>
      <c r="B43" s="1290"/>
      <c r="C43" s="1259">
        <v>400000000</v>
      </c>
      <c r="D43" s="1982">
        <v>0</v>
      </c>
      <c r="E43" s="1983">
        <f t="shared" si="0"/>
        <v>400000000</v>
      </c>
      <c r="F43" s="1983"/>
      <c r="G43" s="1259">
        <v>1050000000</v>
      </c>
      <c r="H43" s="1982">
        <v>0</v>
      </c>
      <c r="I43" s="912">
        <f t="shared" si="1"/>
        <v>1050000000</v>
      </c>
      <c r="J43" s="1821"/>
      <c r="K43" s="1822"/>
    </row>
    <row r="44" spans="1:11" s="1291" customFormat="1" ht="17.25" customHeight="1">
      <c r="A44" s="1289" t="s">
        <v>1469</v>
      </c>
      <c r="B44" s="1290"/>
      <c r="C44" s="1259">
        <v>0</v>
      </c>
      <c r="D44" s="1982">
        <v>0</v>
      </c>
      <c r="E44" s="1983">
        <f t="shared" si="0"/>
        <v>0</v>
      </c>
      <c r="F44" s="1983"/>
      <c r="G44" s="1259">
        <v>0</v>
      </c>
      <c r="H44" s="1982">
        <v>0</v>
      </c>
      <c r="I44" s="912">
        <f t="shared" si="1"/>
        <v>0</v>
      </c>
      <c r="J44" s="1821"/>
      <c r="K44" s="1822"/>
    </row>
    <row r="45" spans="1:11" s="1291" customFormat="1" ht="17.25" customHeight="1">
      <c r="A45" s="1289" t="s">
        <v>1376</v>
      </c>
      <c r="B45" s="1290"/>
      <c r="C45" s="1259">
        <v>0</v>
      </c>
      <c r="D45" s="1982">
        <v>0</v>
      </c>
      <c r="E45" s="1983">
        <f t="shared" si="0"/>
        <v>0</v>
      </c>
      <c r="F45" s="1983"/>
      <c r="G45" s="1259">
        <v>0</v>
      </c>
      <c r="H45" s="1982">
        <v>0</v>
      </c>
      <c r="I45" s="912">
        <f t="shared" si="1"/>
        <v>0</v>
      </c>
      <c r="J45" s="1821"/>
      <c r="K45" s="1822"/>
    </row>
    <row r="46" spans="1:11" s="1291" customFormat="1" ht="17.25" customHeight="1">
      <c r="A46" s="1289" t="s">
        <v>1470</v>
      </c>
      <c r="B46" s="1290"/>
      <c r="C46" s="1259">
        <v>0</v>
      </c>
      <c r="D46" s="1982">
        <v>0</v>
      </c>
      <c r="E46" s="1983">
        <f t="shared" si="0"/>
        <v>0</v>
      </c>
      <c r="F46" s="1983"/>
      <c r="G46" s="1259">
        <v>0</v>
      </c>
      <c r="H46" s="1982">
        <v>0</v>
      </c>
      <c r="I46" s="912">
        <f t="shared" si="1"/>
        <v>0</v>
      </c>
      <c r="J46" s="1821"/>
      <c r="K46" s="1822"/>
    </row>
    <row r="47" spans="1:11" s="1291" customFormat="1" ht="17.25" customHeight="1">
      <c r="A47" s="1289" t="s">
        <v>1471</v>
      </c>
      <c r="B47" s="1290"/>
      <c r="C47" s="1259">
        <v>0</v>
      </c>
      <c r="D47" s="1982">
        <v>0</v>
      </c>
      <c r="E47" s="1983">
        <f t="shared" si="0"/>
        <v>0</v>
      </c>
      <c r="F47" s="1983"/>
      <c r="G47" s="1259">
        <v>0</v>
      </c>
      <c r="H47" s="1982">
        <v>0</v>
      </c>
      <c r="I47" s="912">
        <f t="shared" si="1"/>
        <v>0</v>
      </c>
      <c r="J47" s="1821"/>
      <c r="K47" s="1822"/>
    </row>
    <row r="48" spans="1:11" s="1291" customFormat="1" ht="17.25" customHeight="1">
      <c r="A48" s="1289" t="s">
        <v>1377</v>
      </c>
      <c r="B48" s="1290"/>
      <c r="C48" s="1259">
        <v>90000000</v>
      </c>
      <c r="D48" s="1982">
        <v>0</v>
      </c>
      <c r="E48" s="1983">
        <f t="shared" si="0"/>
        <v>90000000</v>
      </c>
      <c r="F48" s="1983"/>
      <c r="G48" s="1259">
        <v>270000000</v>
      </c>
      <c r="H48" s="1982">
        <v>0</v>
      </c>
      <c r="I48" s="912">
        <f t="shared" si="1"/>
        <v>270000000</v>
      </c>
      <c r="J48" s="1821"/>
      <c r="K48" s="1822"/>
    </row>
    <row r="49" spans="1:12" s="1291" customFormat="1" ht="17.25" customHeight="1">
      <c r="A49" s="1289" t="s">
        <v>1468</v>
      </c>
      <c r="B49" s="1290"/>
      <c r="C49" s="1259">
        <v>0</v>
      </c>
      <c r="D49" s="1982">
        <v>0</v>
      </c>
      <c r="E49" s="1983">
        <f t="shared" si="0"/>
        <v>0</v>
      </c>
      <c r="F49" s="1983"/>
      <c r="G49" s="1259">
        <v>21875</v>
      </c>
      <c r="H49" s="1982">
        <v>0</v>
      </c>
      <c r="I49" s="912">
        <f t="shared" si="1"/>
        <v>21875</v>
      </c>
      <c r="J49" s="1821"/>
      <c r="K49" s="1822"/>
    </row>
    <row r="50" spans="1:12" s="1291" customFormat="1" ht="17.25" customHeight="1">
      <c r="A50" s="1289" t="s">
        <v>1449</v>
      </c>
      <c r="B50" s="1290"/>
      <c r="C50" s="1259">
        <v>3408599</v>
      </c>
      <c r="D50" s="1982">
        <v>0</v>
      </c>
      <c r="E50" s="1983">
        <f t="shared" si="0"/>
        <v>3408599</v>
      </c>
      <c r="F50" s="1983"/>
      <c r="G50" s="1259">
        <v>4352973</v>
      </c>
      <c r="H50" s="1982">
        <v>0</v>
      </c>
      <c r="I50" s="912">
        <f t="shared" si="1"/>
        <v>4352973</v>
      </c>
      <c r="J50" s="1821"/>
      <c r="K50" s="1822"/>
    </row>
    <row r="51" spans="1:12" s="1291" customFormat="1" ht="17.25" customHeight="1">
      <c r="A51" s="1289" t="s">
        <v>1378</v>
      </c>
      <c r="B51" s="1290"/>
      <c r="C51" s="1259">
        <v>280863986.16000003</v>
      </c>
      <c r="D51" s="1982">
        <v>0</v>
      </c>
      <c r="E51" s="1983">
        <f t="shared" si="0"/>
        <v>280863986.16000003</v>
      </c>
      <c r="F51" s="1983"/>
      <c r="G51" s="1259">
        <v>280863986.16000003</v>
      </c>
      <c r="H51" s="1982">
        <v>0</v>
      </c>
      <c r="I51" s="912">
        <f t="shared" si="1"/>
        <v>280863986.16000003</v>
      </c>
      <c r="J51" s="1821"/>
      <c r="K51" s="1822"/>
    </row>
    <row r="52" spans="1:12" s="1288" customFormat="1" ht="17.25" customHeight="1">
      <c r="A52" s="934" t="s">
        <v>1379</v>
      </c>
      <c r="B52" s="1287"/>
      <c r="C52" s="971">
        <f>SUM(C11:C51)</f>
        <v>1326443189.9400001</v>
      </c>
      <c r="D52" s="971">
        <f>SUM(D11:D51)</f>
        <v>1027835816.08</v>
      </c>
      <c r="E52" s="971">
        <f>SUM(E11:E51)</f>
        <v>2354279006.0199995</v>
      </c>
      <c r="F52" s="935"/>
      <c r="G52" s="971">
        <f>SUM(G11:G51)</f>
        <v>10691263974.57</v>
      </c>
      <c r="H52" s="971">
        <f>SUM(H11:H51)</f>
        <v>1031783085.9400001</v>
      </c>
      <c r="I52" s="971">
        <f>SUM(I11:I51)</f>
        <v>11723047060.51</v>
      </c>
      <c r="J52" s="1821"/>
      <c r="K52" s="1822"/>
      <c r="L52" s="1291"/>
    </row>
    <row r="53" spans="1:12" ht="9.6" customHeight="1">
      <c r="A53" s="1283"/>
      <c r="B53" s="1284"/>
      <c r="C53" s="2022"/>
      <c r="D53" s="2022"/>
      <c r="E53" s="2022"/>
      <c r="F53" s="2022"/>
      <c r="G53" s="2023"/>
      <c r="H53" s="2023"/>
      <c r="I53" s="2023"/>
    </row>
    <row r="54" spans="1:12" ht="43.35" customHeight="1">
      <c r="A54" s="1294" t="s">
        <v>1483</v>
      </c>
      <c r="B54" s="1284"/>
      <c r="C54" s="1886">
        <v>-291922603.81</v>
      </c>
      <c r="D54" s="1887">
        <v>0</v>
      </c>
      <c r="E54" s="953">
        <f>C54+D54</f>
        <v>-291922603.81</v>
      </c>
      <c r="F54" s="954"/>
      <c r="G54" s="1887">
        <v>-583587323.92999995</v>
      </c>
      <c r="H54" s="1887">
        <v>0</v>
      </c>
      <c r="I54" s="955">
        <f>G54+H54</f>
        <v>-583587323.92999995</v>
      </c>
    </row>
    <row r="55" spans="1:12" ht="15.6" customHeight="1">
      <c r="A55" s="1295"/>
      <c r="B55" s="1284"/>
      <c r="C55" s="2040"/>
      <c r="D55" s="2040"/>
      <c r="E55" s="2040"/>
      <c r="F55" s="2040"/>
      <c r="G55" s="1888"/>
      <c r="H55" s="1888" t="s">
        <v>103</v>
      </c>
      <c r="I55" s="1888"/>
    </row>
    <row r="56" spans="1:12" ht="17.25" customHeight="1" thickBot="1">
      <c r="A56" s="1295" t="s">
        <v>1380</v>
      </c>
      <c r="B56" s="1284"/>
      <c r="C56" s="936">
        <f>+C52+C54</f>
        <v>1034520586.1300001</v>
      </c>
      <c r="D56" s="936">
        <f t="shared" ref="D56:H56" si="2">+D52+D54</f>
        <v>1027835816.08</v>
      </c>
      <c r="E56" s="936">
        <f>+E52+E54</f>
        <v>2062356402.2099996</v>
      </c>
      <c r="F56" s="933">
        <f t="shared" si="2"/>
        <v>0</v>
      </c>
      <c r="G56" s="936">
        <f>+G52+G54</f>
        <v>10107676650.639999</v>
      </c>
      <c r="H56" s="936">
        <f t="shared" si="2"/>
        <v>1031783085.9400001</v>
      </c>
      <c r="I56" s="936">
        <f>+I52+I54</f>
        <v>11139459736.58</v>
      </c>
    </row>
    <row r="57" spans="1:12" ht="17.25" customHeight="1" thickTop="1">
      <c r="A57" s="1296"/>
      <c r="B57" s="1286"/>
      <c r="C57" s="1296"/>
      <c r="D57" s="1296"/>
      <c r="E57" s="1889"/>
      <c r="F57" s="1889"/>
      <c r="G57" s="1890"/>
      <c r="H57" s="1890"/>
      <c r="I57" s="1821" t="s">
        <v>103</v>
      </c>
    </row>
    <row r="58" spans="1:12" ht="16.350000000000001" customHeight="1">
      <c r="A58" s="1297" t="s">
        <v>1381</v>
      </c>
      <c r="B58" s="1286"/>
      <c r="C58" s="1891"/>
      <c r="D58" s="1892"/>
      <c r="E58" s="1893"/>
      <c r="F58" s="1894"/>
      <c r="G58" s="1892"/>
      <c r="H58" s="1892"/>
      <c r="I58" s="1892"/>
    </row>
    <row r="59" spans="1:12" ht="16.350000000000001" customHeight="1">
      <c r="A59" s="1298" t="s">
        <v>1382</v>
      </c>
      <c r="B59" s="1286"/>
      <c r="C59" s="1911"/>
      <c r="D59" s="1989"/>
      <c r="E59" s="1953"/>
      <c r="F59" s="954"/>
      <c r="G59" s="1887"/>
      <c r="H59" s="1888"/>
      <c r="I59" s="911"/>
    </row>
    <row r="60" spans="1:12" ht="16.350000000000001" customHeight="1">
      <c r="A60" s="1298" t="s">
        <v>1383</v>
      </c>
      <c r="B60" s="1286"/>
      <c r="C60" s="1990"/>
      <c r="D60" s="1891"/>
      <c r="E60" s="1892"/>
      <c r="F60" s="1893"/>
      <c r="G60" s="1895"/>
      <c r="H60" s="1892"/>
      <c r="I60" s="1892"/>
    </row>
    <row r="61" spans="1:12" s="1278" customFormat="1" ht="16.350000000000001" customHeight="1">
      <c r="A61" s="1298" t="s">
        <v>1384</v>
      </c>
      <c r="B61" s="1277"/>
      <c r="C61" s="1886"/>
      <c r="D61" s="1887"/>
      <c r="E61" s="953"/>
      <c r="F61" s="954"/>
      <c r="G61" s="1887"/>
      <c r="H61" s="1887"/>
      <c r="I61" s="955"/>
    </row>
    <row r="62" spans="1:12" s="1278" customFormat="1" ht="13.35" customHeight="1">
      <c r="A62" s="1298" t="s">
        <v>1385</v>
      </c>
      <c r="B62" s="1277"/>
      <c r="C62" s="1909"/>
      <c r="D62" s="1907"/>
      <c r="E62" s="1991"/>
      <c r="F62" s="1907"/>
      <c r="G62" s="1897"/>
      <c r="H62" s="1286"/>
      <c r="I62" s="1898"/>
    </row>
    <row r="63" spans="1:12" ht="17.25" customHeight="1">
      <c r="A63" s="1298" t="s">
        <v>1386</v>
      </c>
      <c r="C63" s="1909"/>
      <c r="D63" s="1907"/>
      <c r="E63" s="1991"/>
      <c r="F63" s="1907"/>
      <c r="G63" s="1892"/>
      <c r="H63" s="1286"/>
      <c r="I63" s="1286"/>
    </row>
    <row r="64" spans="1:12" ht="17.25" customHeight="1">
      <c r="C64" s="1886"/>
      <c r="D64" s="1887"/>
      <c r="E64" s="953"/>
      <c r="F64" s="954"/>
      <c r="G64" s="1887"/>
      <c r="H64" s="1887"/>
      <c r="I64" s="955"/>
    </row>
    <row r="65" spans="3:9" ht="17.25" customHeight="1">
      <c r="C65" s="1891"/>
      <c r="D65" s="1892"/>
      <c r="E65" s="1893"/>
      <c r="F65" s="1894"/>
      <c r="G65" s="1892"/>
      <c r="H65" s="1892"/>
      <c r="I65" s="1892"/>
    </row>
    <row r="66" spans="3:9" ht="17.25" customHeight="1">
      <c r="C66" s="1886"/>
      <c r="D66" s="1887"/>
      <c r="E66" s="953"/>
      <c r="F66" s="954"/>
      <c r="G66" s="1887"/>
      <c r="H66" s="1887"/>
      <c r="I66" s="955"/>
    </row>
    <row r="67" spans="3:9" ht="17.25" customHeight="1">
      <c r="G67" s="1279"/>
    </row>
    <row r="68" spans="3:9" ht="17.25" customHeight="1">
      <c r="C68" s="1896"/>
      <c r="G68" s="1279"/>
      <c r="I68" s="1816"/>
    </row>
    <row r="69" spans="3:9" ht="17.25" customHeight="1">
      <c r="G69" s="1279"/>
    </row>
    <row r="70" spans="3:9" ht="17.25" customHeight="1">
      <c r="I70" s="1816"/>
    </row>
  </sheetData>
  <customSheetViews>
    <customSheetView guid="{83D69B98-1714-4D17-901F-87B47BE66947}" scale="88" showPageBreaks="1" showGridLines="0" fitToPage="1" printArea="1" topLeftCell="C50">
      <selection activeCell="I58" sqref="I58"/>
      <pageMargins left="0.17" right="0.18" top="0.44" bottom="0.27" header="0.23" footer="0.18"/>
      <printOptions horizontalCentered="1"/>
      <pageSetup scale="52" firstPageNumber="57" orientation="landscape" useFirstPageNumber="1" r:id="rId1"/>
      <headerFooter scaleWithDoc="0" alignWithMargins="0">
        <oddFooter>&amp;C&amp;8&amp;P</oddFooter>
      </headerFooter>
    </customSheetView>
    <customSheetView guid="{F9AE1502-86F7-4AAA-AE66-F6A75A634C1B}" scale="70" showPageBreaks="1" showGridLines="0" fitToPage="1" printArea="1" topLeftCell="A38">
      <selection activeCell="E52" sqref="E52"/>
      <pageMargins left="0.17" right="0.18" top="0.44" bottom="0.27" header="0.23" footer="0.18"/>
      <printOptions horizontalCentered="1"/>
      <pageSetup scale="54" firstPageNumber="57" orientation="landscape" useFirstPageNumber="1" r:id="rId2"/>
      <headerFooter scaleWithDoc="0" alignWithMargins="0">
        <oddFooter>&amp;C&amp;8&amp;P</oddFooter>
      </headerFooter>
    </customSheetView>
    <customSheetView guid="{C41E3923-0A88-49D0-AE43-0E74D386A056}" scale="88" showPageBreaks="1" showGridLines="0" fitToPage="1" printArea="1" topLeftCell="A22">
      <selection activeCell="H57" sqref="H57"/>
      <pageMargins left="0.17" right="0.18" top="0.44" bottom="0.27" header="0.23" footer="0.18"/>
      <printOptions horizontalCentered="1"/>
      <pageSetup scale="52" firstPageNumber="57" orientation="landscape" useFirstPageNumber="1" r:id="rId3"/>
      <headerFooter scaleWithDoc="0" alignWithMargins="0">
        <oddFooter>&amp;C&amp;8&amp;P</oddFooter>
      </headerFooter>
    </customSheetView>
    <customSheetView guid="{1DF171D7-3BFC-49F6-B708-0F91FCFAB6E2}" scale="88" showPageBreaks="1" showGridLines="0" fitToPage="1" printArea="1" topLeftCell="A11">
      <selection activeCell="G7" sqref="G7:I7"/>
      <pageMargins left="0.17" right="0.18" top="0.44" bottom="0.27" header="0.23" footer="0.18"/>
      <printOptions horizontalCentered="1"/>
      <pageSetup scale="52" firstPageNumber="57" orientation="landscape" useFirstPageNumber="1" r:id="rId4"/>
      <headerFooter scaleWithDoc="0" alignWithMargins="0">
        <oddFooter>&amp;C&amp;8&amp;P</oddFooter>
      </headerFooter>
    </customSheetView>
    <customSheetView guid="{9F00D83C-7F4F-41B5-9976-8610D9EBC976}" scale="88" showPageBreaks="1" showGridLines="0" fitToPage="1" printArea="1" topLeftCell="A11">
      <selection activeCell="G7" sqref="G7:I7"/>
      <pageMargins left="0.17" right="0.18" top="0.44" bottom="0.27" header="0.23" footer="0.18"/>
      <printOptions horizontalCentered="1"/>
      <pageSetup scale="51" firstPageNumber="57" orientation="landscape" useFirstPageNumber="1" r:id="rId5"/>
      <headerFooter scaleWithDoc="0" alignWithMargins="0">
        <oddFooter>&amp;C&amp;8&amp;P</oddFooter>
      </headerFooter>
    </customSheetView>
    <customSheetView guid="{D1467C25-646C-4F1A-9353-0E890E575522}" scale="88" showPageBreaks="1" showGridLines="0" fitToPage="1" printArea="1">
      <selection activeCell="G7" sqref="G7:I7"/>
      <pageMargins left="0.17" right="0.18" top="0.44" bottom="0.27" header="0.23" footer="0.18"/>
      <printOptions horizontalCentered="1"/>
      <pageSetup scale="52" firstPageNumber="57" orientation="landscape" useFirstPageNumber="1" r:id="rId6"/>
      <headerFooter scaleWithDoc="0" alignWithMargins="0">
        <oddFooter>&amp;C&amp;8&amp;P</oddFooter>
      </headerFooter>
    </customSheetView>
    <customSheetView guid="{3A50DD26-AAF5-43D4-97DE-BAE3367A2F29}" scale="88" showPageBreaks="1" showGridLines="0" fitToPage="1" printArea="1" topLeftCell="A41">
      <selection activeCell="G60" sqref="G60"/>
      <pageMargins left="0.17" right="0.18" top="0.44" bottom="0.27" header="0.23" footer="0.18"/>
      <printOptions horizontalCentered="1"/>
      <pageSetup scale="52" firstPageNumber="57" orientation="landscape" useFirstPageNumber="1" r:id="rId7"/>
      <headerFooter scaleWithDoc="0" alignWithMargins="0">
        <oddFooter>&amp;C&amp;8&amp;P</oddFooter>
      </headerFooter>
    </customSheetView>
    <customSheetView guid="{C3636880-B45B-4897-94F2-F91976416934}" scale="88" showPageBreaks="1" showGridLines="0" fitToPage="1" printArea="1" topLeftCell="A11">
      <selection activeCell="G7" sqref="G7:I7"/>
      <pageMargins left="0.17" right="0.18" top="0.44" bottom="0.27" header="0.23" footer="0.18"/>
      <printOptions horizontalCentered="1"/>
      <pageSetup scale="54" firstPageNumber="57" orientation="landscape" useFirstPageNumber="1" r:id="rId8"/>
      <headerFooter scaleWithDoc="0" alignWithMargins="0">
        <oddFooter>&amp;C&amp;8&amp;P</oddFooter>
      </headerFooter>
    </customSheetView>
  </customSheetViews>
  <mergeCells count="2">
    <mergeCell ref="C7:E7"/>
    <mergeCell ref="G7:I7"/>
  </mergeCells>
  <printOptions horizontalCentered="1"/>
  <pageMargins left="0.17" right="0.18" top="0.44" bottom="0.27" header="0.23" footer="0.18"/>
  <pageSetup scale="54" firstPageNumber="57" orientation="landscape" useFirstPageNumber="1" r:id="rId9"/>
  <headerFooter scaleWithDoc="0" alignWithMargins="0">
    <oddFooter>&amp;C&amp;8&amp;P</oddFooter>
  </headerFooter>
  <customProperties>
    <customPr name="SheetOptions" r:id="rId10"/>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88671875" defaultRowHeight="15"/>
  <cols>
    <col min="1" max="1" width="53.88671875" style="1303" customWidth="1"/>
    <col min="2" max="2" width="2" style="1277" customWidth="1"/>
    <col min="3" max="3" width="21.109375" style="1278" customWidth="1"/>
    <col min="4" max="4" width="21.88671875" style="1278" customWidth="1"/>
    <col min="5" max="5" width="19.88671875" style="1278" customWidth="1"/>
    <col min="6" max="6" width="1.109375" style="1278" customWidth="1"/>
    <col min="7" max="7" width="22.109375" style="1878" customWidth="1"/>
    <col min="8" max="8" width="20.88671875" style="1277" customWidth="1"/>
    <col min="9" max="9" width="21.88671875" style="1277" customWidth="1"/>
    <col min="10" max="10" width="17.88671875" style="1279" customWidth="1"/>
    <col min="11" max="11" width="23.88671875" style="1277" customWidth="1"/>
    <col min="12" max="12" width="15.88671875" style="1277" customWidth="1"/>
    <col min="13" max="16384" width="8.88671875" style="1277"/>
  </cols>
  <sheetData>
    <row r="1" spans="1:12" ht="15.75">
      <c r="A1" s="265" t="s">
        <v>97</v>
      </c>
    </row>
    <row r="3" spans="1:12" ht="25.35" customHeight="1">
      <c r="A3" s="1280" t="s">
        <v>98</v>
      </c>
      <c r="C3" s="1879"/>
      <c r="D3" s="1879"/>
      <c r="E3" s="1879"/>
      <c r="F3" s="1879"/>
      <c r="I3" s="1881" t="s">
        <v>1387</v>
      </c>
    </row>
    <row r="4" spans="1:12" ht="25.35" customHeight="1">
      <c r="A4" s="1280" t="s">
        <v>1388</v>
      </c>
      <c r="C4" s="1879"/>
      <c r="D4" s="1879"/>
      <c r="E4" s="1879"/>
      <c r="F4" s="1879"/>
    </row>
    <row r="5" spans="1:12" ht="18.600000000000001" customHeight="1">
      <c r="A5" s="1281" t="str">
        <f>'Appendix H'!A5</f>
        <v>FISCAL YEAR 2026-2027</v>
      </c>
      <c r="C5" s="1879"/>
      <c r="D5" s="1879"/>
      <c r="E5" s="1879"/>
      <c r="F5" s="1879"/>
    </row>
    <row r="6" spans="1:12" ht="21">
      <c r="A6" s="1299"/>
      <c r="C6" s="1879"/>
      <c r="D6" s="1879"/>
      <c r="E6" s="1879"/>
      <c r="F6" s="1879"/>
    </row>
    <row r="7" spans="1:12" ht="15.75">
      <c r="A7" s="1300"/>
      <c r="B7" s="1284"/>
      <c r="C7" s="2087" t="str">
        <f>'Appendix H'!C7</f>
        <v>JUNE 2026</v>
      </c>
      <c r="D7" s="2088"/>
      <c r="E7" s="2088"/>
      <c r="F7" s="1882"/>
      <c r="G7" s="2088" t="str">
        <f>'Appendix H'!G7</f>
        <v>3 MONTHS ENDED JUNE 30</v>
      </c>
      <c r="H7" s="2088"/>
      <c r="I7" s="2088"/>
    </row>
    <row r="8" spans="1:12" ht="15.75">
      <c r="A8" s="1300"/>
      <c r="B8" s="1284"/>
      <c r="C8" s="1899"/>
      <c r="D8" s="1899"/>
      <c r="E8" s="1899"/>
      <c r="F8" s="1899"/>
      <c r="G8" s="1883"/>
      <c r="H8" s="1284"/>
      <c r="I8" s="1284"/>
    </row>
    <row r="9" spans="1:12" ht="15.75">
      <c r="A9" s="1301"/>
      <c r="B9" s="1284"/>
      <c r="C9" s="1285" t="s">
        <v>1344</v>
      </c>
      <c r="D9" s="1285" t="s">
        <v>1345</v>
      </c>
      <c r="E9" s="1285" t="str">
        <f>'Appendix H'!E9</f>
        <v>June</v>
      </c>
      <c r="F9" s="1285"/>
      <c r="G9" s="1285" t="s">
        <v>1344</v>
      </c>
      <c r="H9" s="1285" t="s">
        <v>1345</v>
      </c>
      <c r="I9" s="1884" t="s">
        <v>1346</v>
      </c>
    </row>
    <row r="10" spans="1:12" s="1288" customFormat="1" ht="15.75">
      <c r="A10" s="932"/>
      <c r="B10" s="1287"/>
      <c r="C10" s="1900"/>
      <c r="D10" s="1900"/>
      <c r="E10" s="1900"/>
      <c r="F10" s="1900"/>
      <c r="G10" s="1901"/>
      <c r="H10" s="1287"/>
      <c r="I10" s="1901"/>
      <c r="J10" s="1820"/>
    </row>
    <row r="11" spans="1:12" s="1291" customFormat="1" ht="15.75">
      <c r="A11" s="1289" t="s">
        <v>1389</v>
      </c>
      <c r="B11" s="1290"/>
      <c r="C11" s="926">
        <v>5167442.3099999996</v>
      </c>
      <c r="D11" s="926">
        <v>0</v>
      </c>
      <c r="E11" s="927">
        <f>C11+D11</f>
        <v>5167442.3099999996</v>
      </c>
      <c r="F11" s="927"/>
      <c r="G11" s="926">
        <v>25464128.93</v>
      </c>
      <c r="H11" s="926">
        <v>0</v>
      </c>
      <c r="I11" s="927">
        <f>G11+H11</f>
        <v>25464128.93</v>
      </c>
      <c r="J11" s="1821"/>
      <c r="K11" s="1822"/>
      <c r="L11" s="1924"/>
    </row>
    <row r="12" spans="1:12" s="1291" customFormat="1" ht="15.75">
      <c r="A12" s="1289" t="s">
        <v>1349</v>
      </c>
      <c r="B12" s="1290"/>
      <c r="C12" s="1982">
        <v>317228841.75</v>
      </c>
      <c r="D12" s="1982">
        <v>39250580.030000001</v>
      </c>
      <c r="E12" s="1983">
        <f>C12+D12</f>
        <v>356479421.77999997</v>
      </c>
      <c r="F12" s="1983"/>
      <c r="G12" s="1982">
        <v>454685212.13999999</v>
      </c>
      <c r="H12" s="1982">
        <v>39250580.030000001</v>
      </c>
      <c r="I12" s="1983">
        <f>G12+H12</f>
        <v>493935792.16999996</v>
      </c>
      <c r="J12" s="1821"/>
      <c r="K12" s="1822"/>
      <c r="L12" s="1924"/>
    </row>
    <row r="13" spans="1:12" s="1291" customFormat="1" ht="15.75">
      <c r="A13" s="1289" t="s">
        <v>1362</v>
      </c>
      <c r="B13" s="1290"/>
      <c r="C13" s="1982">
        <v>302340754.44</v>
      </c>
      <c r="D13" s="1982">
        <v>0</v>
      </c>
      <c r="E13" s="1983">
        <f t="shared" ref="E13:E23" si="0">C13+D13</f>
        <v>302340754.44</v>
      </c>
      <c r="F13" s="1983"/>
      <c r="G13" s="1982">
        <v>894678055.14999998</v>
      </c>
      <c r="H13" s="1982">
        <v>0</v>
      </c>
      <c r="I13" s="1983">
        <f t="shared" ref="I13:I25" si="1">G13+H13</f>
        <v>894678055.14999998</v>
      </c>
      <c r="J13" s="1821"/>
      <c r="K13" s="1822"/>
      <c r="L13" s="1924"/>
    </row>
    <row r="14" spans="1:12" s="1291" customFormat="1" ht="15.75">
      <c r="A14" s="1289" t="s">
        <v>1364</v>
      </c>
      <c r="B14" s="1290"/>
      <c r="C14" s="1982">
        <v>50789581.890000001</v>
      </c>
      <c r="D14" s="1982">
        <v>0</v>
      </c>
      <c r="E14" s="1983">
        <f t="shared" si="0"/>
        <v>50789581.890000001</v>
      </c>
      <c r="F14" s="1983"/>
      <c r="G14" s="1982">
        <v>144428804.24000001</v>
      </c>
      <c r="H14" s="1982">
        <v>0</v>
      </c>
      <c r="I14" s="1983">
        <f>G14+H14</f>
        <v>144428804.24000001</v>
      </c>
      <c r="J14" s="1821"/>
      <c r="K14" s="1822"/>
      <c r="L14" s="1924"/>
    </row>
    <row r="15" spans="1:12" s="1291" customFormat="1" ht="15.75">
      <c r="A15" s="1289" t="s">
        <v>1365</v>
      </c>
      <c r="B15" s="1290"/>
      <c r="C15" s="1982">
        <v>102218125.42</v>
      </c>
      <c r="D15" s="1982">
        <v>0</v>
      </c>
      <c r="E15" s="1983">
        <f t="shared" si="0"/>
        <v>102218125.42</v>
      </c>
      <c r="F15" s="1983"/>
      <c r="G15" s="1982">
        <v>259947509.83000001</v>
      </c>
      <c r="H15" s="1982">
        <v>0</v>
      </c>
      <c r="I15" s="1983">
        <f t="shared" si="1"/>
        <v>259947509.83000001</v>
      </c>
      <c r="J15" s="1821"/>
      <c r="K15" s="1822"/>
      <c r="L15" s="1924"/>
    </row>
    <row r="16" spans="1:12" s="1291" customFormat="1" ht="15.75">
      <c r="A16" s="1289" t="s">
        <v>1366</v>
      </c>
      <c r="B16" s="1290"/>
      <c r="C16" s="1982">
        <v>176568154.09999999</v>
      </c>
      <c r="D16" s="1982">
        <v>0</v>
      </c>
      <c r="E16" s="1983">
        <f t="shared" si="0"/>
        <v>176568154.09999999</v>
      </c>
      <c r="F16" s="1983"/>
      <c r="G16" s="1982">
        <v>462471967.36000001</v>
      </c>
      <c r="H16" s="1982">
        <v>0</v>
      </c>
      <c r="I16" s="1983">
        <f t="shared" si="1"/>
        <v>462471967.36000001</v>
      </c>
      <c r="J16" s="1821"/>
      <c r="K16" s="1822"/>
      <c r="L16" s="1924"/>
    </row>
    <row r="17" spans="1:12" s="1291" customFormat="1" ht="15.75">
      <c r="A17" s="1289" t="s">
        <v>1367</v>
      </c>
      <c r="B17" s="1290"/>
      <c r="C17" s="1982">
        <v>1722667391.21</v>
      </c>
      <c r="D17" s="1982">
        <v>0</v>
      </c>
      <c r="E17" s="1983">
        <f t="shared" si="0"/>
        <v>1722667391.21</v>
      </c>
      <c r="F17" s="1983"/>
      <c r="G17" s="1982">
        <v>6078024899.5500002</v>
      </c>
      <c r="H17" s="1982">
        <v>0</v>
      </c>
      <c r="I17" s="1983">
        <f t="shared" si="1"/>
        <v>6078024899.5500002</v>
      </c>
      <c r="J17" s="1821"/>
      <c r="K17" s="1822"/>
      <c r="L17" s="1924"/>
    </row>
    <row r="18" spans="1:12" s="1291" customFormat="1" ht="15.75">
      <c r="A18" s="1289" t="s">
        <v>1368</v>
      </c>
      <c r="B18" s="1290"/>
      <c r="C18" s="1982">
        <v>2216077691.7800002</v>
      </c>
      <c r="D18" s="1982">
        <v>0</v>
      </c>
      <c r="E18" s="1983">
        <f t="shared" si="0"/>
        <v>2216077691.7800002</v>
      </c>
      <c r="F18" s="1983"/>
      <c r="G18" s="1982">
        <v>4705086432.2300005</v>
      </c>
      <c r="H18" s="1982">
        <v>0</v>
      </c>
      <c r="I18" s="1983">
        <f t="shared" si="1"/>
        <v>4705086432.2300005</v>
      </c>
      <c r="J18" s="1821"/>
      <c r="K18" s="1822"/>
      <c r="L18" s="1924"/>
    </row>
    <row r="19" spans="1:12" s="1291" customFormat="1" ht="15.75">
      <c r="A19" s="1289" t="s">
        <v>1481</v>
      </c>
      <c r="B19" s="1290"/>
      <c r="C19" s="1982">
        <v>238531173.47999999</v>
      </c>
      <c r="D19" s="1982">
        <v>0</v>
      </c>
      <c r="E19" s="1983">
        <f t="shared" si="0"/>
        <v>238531173.47999999</v>
      </c>
      <c r="F19" s="1983"/>
      <c r="G19" s="1982">
        <v>238531173.47999999</v>
      </c>
      <c r="H19" s="1982">
        <v>0</v>
      </c>
      <c r="I19" s="1983">
        <f t="shared" si="1"/>
        <v>238531173.47999999</v>
      </c>
      <c r="J19" s="1821"/>
      <c r="K19" s="1822"/>
      <c r="L19" s="1924"/>
    </row>
    <row r="20" spans="1:12" s="1291" customFormat="1" ht="15.75">
      <c r="A20" s="1289" t="s">
        <v>1369</v>
      </c>
      <c r="B20" s="1290"/>
      <c r="C20" s="1982">
        <v>358767357.69</v>
      </c>
      <c r="D20" s="1982">
        <v>0</v>
      </c>
      <c r="E20" s="1983">
        <f t="shared" si="0"/>
        <v>358767357.69</v>
      </c>
      <c r="F20" s="1983"/>
      <c r="G20" s="1982">
        <v>723815836.24000001</v>
      </c>
      <c r="H20" s="1982">
        <v>0</v>
      </c>
      <c r="I20" s="1983">
        <f t="shared" si="1"/>
        <v>723815836.24000001</v>
      </c>
      <c r="J20" s="1821"/>
      <c r="K20" s="1822"/>
      <c r="L20" s="1924"/>
    </row>
    <row r="21" spans="1:12" s="1291" customFormat="1" ht="15.75">
      <c r="A21" s="1289" t="s">
        <v>1370</v>
      </c>
      <c r="B21" s="1290"/>
      <c r="C21" s="1982">
        <v>70502934.329999998</v>
      </c>
      <c r="D21" s="1982">
        <v>0</v>
      </c>
      <c r="E21" s="1983">
        <f t="shared" si="0"/>
        <v>70502934.329999998</v>
      </c>
      <c r="F21" s="1983"/>
      <c r="G21" s="1982">
        <v>182841098.66</v>
      </c>
      <c r="H21" s="1982">
        <v>0</v>
      </c>
      <c r="I21" s="1983">
        <f t="shared" si="1"/>
        <v>182841098.66</v>
      </c>
      <c r="J21" s="1821"/>
      <c r="K21" s="1822"/>
      <c r="L21" s="1924"/>
    </row>
    <row r="22" spans="1:12" s="1291" customFormat="1" ht="15.75">
      <c r="A22" s="1289" t="s">
        <v>1371</v>
      </c>
      <c r="B22" s="1290"/>
      <c r="C22" s="1982">
        <v>481357.88</v>
      </c>
      <c r="D22" s="1982">
        <v>0</v>
      </c>
      <c r="E22" s="1983">
        <f t="shared" si="0"/>
        <v>481357.88</v>
      </c>
      <c r="F22" s="1983"/>
      <c r="G22" s="1982">
        <v>1277777.58</v>
      </c>
      <c r="H22" s="1982">
        <v>0</v>
      </c>
      <c r="I22" s="1983">
        <f t="shared" si="1"/>
        <v>1277777.58</v>
      </c>
      <c r="J22" s="1821"/>
      <c r="K22" s="1822"/>
      <c r="L22" s="1924"/>
    </row>
    <row r="23" spans="1:12" s="1291" customFormat="1" ht="15.75">
      <c r="A23" s="1289" t="s">
        <v>1390</v>
      </c>
      <c r="B23" s="1290"/>
      <c r="C23" s="1982">
        <v>412464255.24000001</v>
      </c>
      <c r="D23" s="1982">
        <v>3302894</v>
      </c>
      <c r="E23" s="1983">
        <f t="shared" si="0"/>
        <v>415767149.24000001</v>
      </c>
      <c r="F23" s="1983"/>
      <c r="G23" s="1982">
        <v>719366291.27999997</v>
      </c>
      <c r="H23" s="1982">
        <v>3302894</v>
      </c>
      <c r="I23" s="1983">
        <f t="shared" si="1"/>
        <v>722669185.27999997</v>
      </c>
      <c r="J23" s="1821"/>
      <c r="K23" s="1822"/>
      <c r="L23" s="1924"/>
    </row>
    <row r="24" spans="1:12" s="1291" customFormat="1" ht="15.75">
      <c r="A24" s="1289" t="s">
        <v>1373</v>
      </c>
      <c r="B24" s="1290"/>
      <c r="C24" s="332">
        <v>707168382.84000003</v>
      </c>
      <c r="D24" s="1982">
        <v>0</v>
      </c>
      <c r="E24" s="1983">
        <f>C24+D24</f>
        <v>707168382.84000003</v>
      </c>
      <c r="F24" s="1983"/>
      <c r="G24" s="332">
        <v>682168382.84000003</v>
      </c>
      <c r="H24" s="1982">
        <v>0</v>
      </c>
      <c r="I24" s="1983">
        <f t="shared" si="1"/>
        <v>682168382.84000003</v>
      </c>
      <c r="J24" s="1821"/>
      <c r="K24" s="1822"/>
      <c r="L24" s="1924"/>
    </row>
    <row r="25" spans="1:12" s="1291" customFormat="1" ht="15.75">
      <c r="A25" s="1289" t="s">
        <v>1378</v>
      </c>
      <c r="B25" s="1290"/>
      <c r="C25" s="1982">
        <v>334587123.83999997</v>
      </c>
      <c r="D25" s="1982">
        <v>0</v>
      </c>
      <c r="E25" s="1983">
        <f>C25</f>
        <v>334587123.83999997</v>
      </c>
      <c r="F25" s="1983"/>
      <c r="G25" s="1982">
        <v>334587123.83999997</v>
      </c>
      <c r="H25" s="1982">
        <v>0</v>
      </c>
      <c r="I25" s="1983">
        <f t="shared" si="1"/>
        <v>334587123.83999997</v>
      </c>
      <c r="J25" s="1821"/>
      <c r="K25" s="1822"/>
      <c r="L25" s="1924"/>
    </row>
    <row r="26" spans="1:12" s="1288" customFormat="1" ht="26.1" customHeight="1">
      <c r="A26" s="934" t="s">
        <v>1379</v>
      </c>
      <c r="B26" s="1287"/>
      <c r="C26" s="969">
        <f>SUM(C11:C25)</f>
        <v>7015560568.1999989</v>
      </c>
      <c r="D26" s="969">
        <f>SUM(D11:D25)</f>
        <v>42553474.030000001</v>
      </c>
      <c r="E26" s="969">
        <f>SUM(E11:E25)</f>
        <v>7058114042.2299995</v>
      </c>
      <c r="F26" s="970"/>
      <c r="G26" s="969">
        <f>SUM(G11:G25)</f>
        <v>15907374693.35</v>
      </c>
      <c r="H26" s="969">
        <f>SUM(H11:H25)</f>
        <v>42553474.030000001</v>
      </c>
      <c r="I26" s="969">
        <f>SUM(I11:I25)</f>
        <v>15949928167.379999</v>
      </c>
      <c r="J26" s="1820"/>
      <c r="K26" s="1822"/>
      <c r="L26" s="1924"/>
    </row>
    <row r="27" spans="1:12" ht="6.6" customHeight="1">
      <c r="A27" s="1302"/>
      <c r="B27" s="1284"/>
      <c r="C27" s="2024"/>
      <c r="D27" s="2024"/>
      <c r="E27" s="2024"/>
      <c r="F27" s="2024"/>
      <c r="G27" s="1892"/>
      <c r="H27" s="1892"/>
      <c r="I27" s="1892"/>
      <c r="K27" s="1822"/>
      <c r="L27" s="1924"/>
    </row>
    <row r="28" spans="1:12" ht="42" customHeight="1">
      <c r="A28" s="2030" t="s">
        <v>1524</v>
      </c>
      <c r="B28" s="1284"/>
      <c r="C28" s="1902">
        <v>-2270457916.02</v>
      </c>
      <c r="D28" s="1903">
        <v>0</v>
      </c>
      <c r="E28" s="2025">
        <f t="shared" ref="E28" si="2">C28+D28</f>
        <v>-2270457916.02</v>
      </c>
      <c r="F28" s="1904"/>
      <c r="G28" s="1905">
        <v>-1544426435.8599999</v>
      </c>
      <c r="H28" s="1905">
        <v>0</v>
      </c>
      <c r="I28" s="1906">
        <f>G28+H28</f>
        <v>-1544426435.8599999</v>
      </c>
      <c r="J28" s="1892"/>
      <c r="K28" s="1822"/>
      <c r="L28" s="1924"/>
    </row>
    <row r="29" spans="1:12" ht="15.6" customHeight="1">
      <c r="A29" s="1295"/>
      <c r="B29" s="1284"/>
      <c r="C29" s="2003"/>
      <c r="D29" s="2003"/>
      <c r="E29" s="2003"/>
      <c r="F29" s="2003"/>
      <c r="G29" s="2004"/>
      <c r="H29" s="2004"/>
      <c r="I29" s="2004"/>
      <c r="K29" s="1822"/>
      <c r="L29" s="1924"/>
    </row>
    <row r="30" spans="1:12" ht="19.5" thickBot="1">
      <c r="A30" s="1295" t="s">
        <v>1391</v>
      </c>
      <c r="B30" s="1284"/>
      <c r="C30" s="917">
        <f>+C26+C28</f>
        <v>4745102652.1799984</v>
      </c>
      <c r="D30" s="917">
        <f>+D26+D28</f>
        <v>42553474.030000001</v>
      </c>
      <c r="E30" s="917">
        <f>+E26+E28</f>
        <v>4787656126.2099991</v>
      </c>
      <c r="F30" s="927"/>
      <c r="G30" s="917">
        <f>+G26+G28</f>
        <v>14362948257.49</v>
      </c>
      <c r="H30" s="917">
        <f>+H26+H28</f>
        <v>42553474.030000001</v>
      </c>
      <c r="I30" s="917">
        <f>+I26+I28</f>
        <v>14405501731.519999</v>
      </c>
      <c r="K30" s="1822"/>
      <c r="L30" s="1924"/>
    </row>
    <row r="31" spans="1:12" ht="15.75" thickTop="1">
      <c r="C31" s="1907"/>
      <c r="D31" s="1907"/>
      <c r="E31" s="1907"/>
      <c r="F31" s="1907"/>
      <c r="G31" s="1908"/>
      <c r="H31" s="1286"/>
      <c r="I31" s="1286"/>
    </row>
    <row r="32" spans="1:12" ht="16.350000000000001" customHeight="1">
      <c r="A32" s="1297" t="s">
        <v>1392</v>
      </c>
      <c r="C32" s="1909"/>
      <c r="D32" s="1910"/>
      <c r="E32" s="1909" t="s">
        <v>103</v>
      </c>
      <c r="F32" s="1907"/>
      <c r="G32" s="1887"/>
      <c r="H32" s="1897"/>
      <c r="I32" s="1897"/>
    </row>
    <row r="33" spans="1:9" ht="16.350000000000001" customHeight="1">
      <c r="A33" s="1298" t="s">
        <v>1382</v>
      </c>
      <c r="C33" s="1911"/>
      <c r="D33" s="1911"/>
      <c r="E33" s="1912" t="s">
        <v>103</v>
      </c>
      <c r="F33" s="1913"/>
      <c r="G33" s="1887"/>
      <c r="H33" s="1887"/>
      <c r="I33" s="1914" t="s">
        <v>103</v>
      </c>
    </row>
    <row r="34" spans="1:9" ht="14.85" customHeight="1">
      <c r="A34" s="1304" t="s">
        <v>1383</v>
      </c>
      <c r="C34" s="1891"/>
      <c r="D34" s="1893"/>
      <c r="E34" s="1915" t="s">
        <v>103</v>
      </c>
      <c r="F34" s="332"/>
      <c r="G34" s="1892" t="s">
        <v>103</v>
      </c>
      <c r="H34" s="1892"/>
      <c r="I34" s="1916"/>
    </row>
    <row r="35" spans="1:9" ht="16.350000000000001" customHeight="1">
      <c r="A35" s="1304" t="s">
        <v>1393</v>
      </c>
      <c r="C35" s="1909"/>
      <c r="D35" s="1907"/>
      <c r="E35" s="1909" t="s">
        <v>103</v>
      </c>
      <c r="F35" s="1907"/>
      <c r="G35" s="1892"/>
      <c r="H35" s="1286" t="s">
        <v>103</v>
      </c>
      <c r="I35" s="1897" t="s">
        <v>103</v>
      </c>
    </row>
    <row r="36" spans="1:9" ht="16.350000000000001" customHeight="1">
      <c r="A36" s="1304" t="s">
        <v>1394</v>
      </c>
      <c r="C36" s="1909"/>
      <c r="D36" s="1907"/>
      <c r="E36" s="1909" t="s">
        <v>103</v>
      </c>
      <c r="F36" s="1907"/>
      <c r="G36" s="1897" t="s">
        <v>103</v>
      </c>
      <c r="H36" s="1286"/>
      <c r="I36" s="1898" t="s">
        <v>103</v>
      </c>
    </row>
    <row r="37" spans="1:9">
      <c r="C37" s="1907"/>
      <c r="D37" s="1909"/>
      <c r="E37" s="1907"/>
      <c r="F37" s="1907"/>
      <c r="G37" s="1897"/>
      <c r="H37" s="1286"/>
      <c r="I37" s="1897" t="s">
        <v>103</v>
      </c>
    </row>
    <row r="38" spans="1:9">
      <c r="C38" s="1902"/>
      <c r="D38" s="1903"/>
      <c r="E38" s="1917"/>
      <c r="F38" s="1904"/>
      <c r="G38" s="1905"/>
      <c r="H38" s="1905"/>
      <c r="I38" s="1906"/>
    </row>
    <row r="39" spans="1:9">
      <c r="C39" s="1902"/>
      <c r="D39" s="1903"/>
      <c r="E39" s="1917"/>
      <c r="F39" s="1904"/>
      <c r="G39" s="1905"/>
      <c r="H39" s="1905"/>
      <c r="I39" s="1906"/>
    </row>
    <row r="40" spans="1:9">
      <c r="B40" s="1279"/>
      <c r="C40" s="1896"/>
      <c r="D40" s="1896"/>
      <c r="E40" s="1896"/>
      <c r="F40" s="1896"/>
      <c r="G40" s="1279"/>
      <c r="H40" s="1279"/>
      <c r="I40" s="1897" t="s">
        <v>103</v>
      </c>
    </row>
    <row r="41" spans="1:9">
      <c r="B41" s="1279"/>
      <c r="C41" s="1896"/>
      <c r="D41" s="1896"/>
      <c r="E41" s="1896"/>
      <c r="F41" s="1896"/>
      <c r="G41" s="1279"/>
      <c r="H41" s="1279"/>
      <c r="I41" s="1279"/>
    </row>
    <row r="42" spans="1:9">
      <c r="B42" s="1279"/>
      <c r="C42" s="1896"/>
      <c r="D42" s="1896"/>
      <c r="E42" s="1896"/>
      <c r="F42" s="1896"/>
      <c r="G42" s="1279"/>
      <c r="H42" s="1279"/>
      <c r="I42" s="1279"/>
    </row>
    <row r="43" spans="1:9">
      <c r="B43" s="1279"/>
      <c r="C43" s="1896"/>
      <c r="D43" s="1896"/>
      <c r="E43" s="1896"/>
      <c r="F43" s="1896"/>
      <c r="G43" s="1279"/>
      <c r="H43" s="1279"/>
      <c r="I43" s="1279"/>
    </row>
  </sheetData>
  <customSheetViews>
    <customSheetView guid="{83D69B98-1714-4D17-901F-87B47BE66947}" scale="80" showPageBreaks="1" showGridLines="0" fitToPage="1" printArea="1" topLeftCell="A21">
      <selection activeCell="E28" sqref="E28"/>
      <pageMargins left="0.17" right="0.18" top="0.5" bottom="0.27" header="0.23" footer="0.18"/>
      <printOptions horizontalCentered="1"/>
      <pageSetup scale="61" firstPageNumber="58" orientation="landscape" useFirstPageNumber="1" r:id="rId1"/>
      <headerFooter scaleWithDoc="0" alignWithMargins="0">
        <oddFooter>&amp;C&amp;8&amp;P</oddFooter>
      </headerFooter>
    </customSheetView>
    <customSheetView guid="{F9AE1502-86F7-4AAA-AE66-F6A75A634C1B}" scale="80" showPageBreaks="1" showGridLines="0" fitToPage="1" printArea="1" topLeftCell="A7">
      <selection activeCell="G18" sqref="G18"/>
      <pageMargins left="0.17" right="0.18" top="0.5" bottom="0.27" header="0.23" footer="0.18"/>
      <printOptions horizontalCentered="1"/>
      <pageSetup scale="67" firstPageNumber="58" orientation="landscape" useFirstPageNumber="1" r:id="rId2"/>
      <headerFooter scaleWithDoc="0" alignWithMargins="0">
        <oddFooter>&amp;C&amp;8&amp;P</oddFooter>
      </headerFooter>
    </customSheetView>
    <customSheetView guid="{C41E3923-0A88-49D0-AE43-0E74D386A056}" scale="80" showPageBreaks="1" showGridLines="0" fitToPage="1" printArea="1">
      <selection activeCell="G11" sqref="G11:G23"/>
      <pageMargins left="0.17" right="0.18" top="0.5" bottom="0.27" header="0.23" footer="0.18"/>
      <printOptions horizontalCentered="1"/>
      <pageSetup scale="61" firstPageNumber="58" orientation="landscape" useFirstPageNumber="1" r:id="rId3"/>
      <headerFooter scaleWithDoc="0" alignWithMargins="0">
        <oddFooter>&amp;C&amp;8&amp;P</oddFooter>
      </headerFooter>
    </customSheetView>
    <customSheetView guid="{1DF171D7-3BFC-49F6-B708-0F91FCFAB6E2}" scale="80" showPageBreaks="1" showGridLines="0" fitToPage="1" printArea="1">
      <selection activeCell="G7" sqref="G7:I7"/>
      <pageMargins left="0.17" right="0.18" top="0.5" bottom="0.27" header="0.23" footer="0.18"/>
      <printOptions horizontalCentered="1"/>
      <pageSetup scale="61" firstPageNumber="58" orientation="landscape" useFirstPageNumber="1" r:id="rId4"/>
      <headerFooter scaleWithDoc="0" alignWithMargins="0">
        <oddFooter>&amp;C&amp;8&amp;P</oddFooter>
      </headerFooter>
    </customSheetView>
    <customSheetView guid="{9F00D83C-7F4F-41B5-9976-8610D9EBC976}" scale="80" showPageBreaks="1" showGridLines="0" fitToPage="1" printArea="1">
      <selection activeCell="G7" sqref="G7:I7"/>
      <pageMargins left="0.17" right="0.18" top="0.5" bottom="0.27" header="0.23" footer="0.18"/>
      <printOptions horizontalCentered="1"/>
      <pageSetup scale="62" firstPageNumber="58" orientation="landscape" useFirstPageNumber="1" r:id="rId5"/>
      <headerFooter scaleWithDoc="0" alignWithMargins="0">
        <oddFooter>&amp;C&amp;8&amp;P</oddFooter>
      </headerFooter>
    </customSheetView>
    <customSheetView guid="{D1467C25-646C-4F1A-9353-0E890E575522}" scale="80" showPageBreaks="1" showGridLines="0" fitToPage="1" printArea="1" topLeftCell="A5">
      <selection activeCell="G7" sqref="G7:I7"/>
      <pageMargins left="0.17" right="0.18" top="0.5" bottom="0.27" header="0.23" footer="0.18"/>
      <printOptions horizontalCentered="1"/>
      <pageSetup scale="61" firstPageNumber="58" orientation="landscape" useFirstPageNumber="1" r:id="rId6"/>
      <headerFooter scaleWithDoc="0" alignWithMargins="0">
        <oddFooter>&amp;C&amp;8&amp;P</oddFooter>
      </headerFooter>
    </customSheetView>
    <customSheetView guid="{3A50DD26-AAF5-43D4-97DE-BAE3367A2F29}" scale="80" showPageBreaks="1" showGridLines="0" fitToPage="1" printArea="1" topLeftCell="A10">
      <selection activeCell="E3" sqref="E3"/>
      <pageMargins left="0.17" right="0.18" top="0.5" bottom="0.27" header="0.23" footer="0.18"/>
      <printOptions horizontalCentered="1"/>
      <pageSetup scale="61" firstPageNumber="58" orientation="landscape" useFirstPageNumber="1" r:id="rId7"/>
      <headerFooter scaleWithDoc="0" alignWithMargins="0">
        <oddFooter>&amp;C&amp;8&amp;P</oddFooter>
      </headerFooter>
    </customSheetView>
    <customSheetView guid="{C3636880-B45B-4897-94F2-F91976416934}" scale="80" showPageBreaks="1" showGridLines="0" fitToPage="1" printArea="1">
      <selection activeCell="G7" sqref="G7:I7"/>
      <pageMargins left="0.17" right="0.18" top="0.5" bottom="0.27" header="0.23" footer="0.18"/>
      <printOptions horizontalCentered="1"/>
      <pageSetup scale="61" firstPageNumber="58" orientation="landscape" useFirstPageNumber="1" r:id="rId8"/>
      <headerFooter scaleWithDoc="0" alignWithMargins="0">
        <oddFooter>&amp;C&amp;8&amp;P</oddFooter>
      </headerFooter>
    </customSheetView>
  </customSheetViews>
  <mergeCells count="2">
    <mergeCell ref="C7:E7"/>
    <mergeCell ref="G7:I7"/>
  </mergeCells>
  <printOptions horizontalCentered="1"/>
  <pageMargins left="0.17" right="0.18" top="0.5" bottom="0.27" header="0.23" footer="0.18"/>
  <pageSetup scale="61" firstPageNumber="58" orientation="landscape" useFirstPageNumber="1" r:id="rId9"/>
  <headerFooter scaleWithDoc="0" alignWithMargins="0">
    <oddFooter>&amp;C&amp;8&amp;P</oddFooter>
  </headerFooter>
  <customProperties>
    <customPr name="SheetOptions" r:id="rId10"/>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88671875" defaultRowHeight="15"/>
  <cols>
    <col min="1" max="1" width="44.88671875" style="10" customWidth="1"/>
    <col min="2" max="2" width="13.88671875" style="10" customWidth="1"/>
    <col min="3" max="3" width="1.109375" style="10" customWidth="1"/>
    <col min="4" max="4" width="13.88671875" style="10" customWidth="1"/>
    <col min="5" max="5" width="1.88671875" style="10" customWidth="1"/>
    <col min="6" max="6" width="13.88671875" style="10" customWidth="1"/>
    <col min="7" max="7" width="1.109375" style="10" customWidth="1"/>
    <col min="8" max="8" width="13.88671875" style="10" customWidth="1"/>
    <col min="9" max="11" width="1.109375" style="10" customWidth="1"/>
    <col min="12" max="12" width="13.88671875" style="10" customWidth="1"/>
    <col min="13" max="13" width="1.5546875" style="10" customWidth="1"/>
    <col min="14" max="14" width="13.88671875" style="10" customWidth="1"/>
    <col min="15" max="17" width="1.109375" style="10" customWidth="1"/>
    <col min="18" max="18" width="13.88671875" style="10" customWidth="1"/>
    <col min="19" max="19" width="1.109375" style="10" customWidth="1"/>
    <col min="20" max="20" width="13.88671875" style="10" customWidth="1"/>
    <col min="21" max="22" width="1.109375" style="10" customWidth="1"/>
    <col min="23" max="23" width="13.88671875" style="10" customWidth="1"/>
    <col min="24" max="24" width="1.109375" style="10" customWidth="1"/>
    <col min="25" max="25" width="13.88671875" style="10" customWidth="1"/>
    <col min="26" max="26" width="3.109375" style="10" customWidth="1"/>
    <col min="27" max="16384" width="8.88671875" style="10"/>
  </cols>
  <sheetData>
    <row r="1" spans="1:26">
      <c r="A1" s="265" t="s">
        <v>97</v>
      </c>
    </row>
    <row r="2" spans="1:26">
      <c r="A2" s="354"/>
    </row>
    <row r="3" spans="1:26" s="5" customFormat="1" ht="18" customHeight="1">
      <c r="A3" s="3" t="s">
        <v>98</v>
      </c>
      <c r="B3" s="3"/>
      <c r="C3" s="3"/>
      <c r="D3" s="3"/>
      <c r="E3" s="3"/>
      <c r="F3" s="364"/>
      <c r="G3" s="364"/>
      <c r="H3" s="3"/>
      <c r="I3" s="3"/>
      <c r="J3" s="3"/>
      <c r="K3" s="3"/>
      <c r="L3" s="3"/>
      <c r="M3" s="3"/>
      <c r="N3" s="3"/>
      <c r="O3" s="3"/>
      <c r="P3" s="3"/>
      <c r="Q3" s="3"/>
      <c r="R3" s="889"/>
      <c r="S3" s="2059"/>
      <c r="T3" s="2059"/>
      <c r="U3" s="502"/>
      <c r="V3" s="502"/>
      <c r="W3" s="291"/>
      <c r="X3" s="354"/>
      <c r="Y3" s="2060" t="s">
        <v>199</v>
      </c>
      <c r="Z3" s="2060"/>
    </row>
    <row r="4" spans="1:26" s="5" customFormat="1" ht="15.75">
      <c r="A4" s="3" t="s">
        <v>200</v>
      </c>
      <c r="B4" s="3"/>
      <c r="C4" s="3"/>
      <c r="D4" s="3"/>
      <c r="E4" s="3"/>
      <c r="F4" s="364"/>
      <c r="G4" s="364"/>
      <c r="H4" s="3"/>
      <c r="I4" s="3"/>
      <c r="J4" s="3"/>
      <c r="K4" s="3"/>
      <c r="L4" s="3"/>
      <c r="M4" s="3"/>
      <c r="N4" s="3"/>
      <c r="O4" s="3"/>
      <c r="P4" s="3"/>
      <c r="Q4" s="3"/>
      <c r="R4" s="3"/>
      <c r="S4" s="3"/>
      <c r="T4" s="3"/>
      <c r="U4" s="3"/>
      <c r="V4" s="3"/>
      <c r="W4" s="291"/>
      <c r="X4" s="354"/>
      <c r="Y4" s="354"/>
      <c r="Z4" s="354"/>
    </row>
    <row r="5" spans="1:26" s="5" customFormat="1" ht="15.75" customHeight="1">
      <c r="A5" s="1216" t="s">
        <v>158</v>
      </c>
      <c r="B5" s="3"/>
      <c r="C5" s="3"/>
      <c r="D5" s="3"/>
      <c r="E5" s="3"/>
      <c r="F5" s="364"/>
      <c r="G5" s="364"/>
      <c r="H5" s="3"/>
      <c r="I5" s="3"/>
      <c r="J5" s="3"/>
      <c r="K5" s="3"/>
      <c r="L5" s="3"/>
      <c r="M5" s="3"/>
      <c r="N5" s="3"/>
      <c r="O5" s="3"/>
      <c r="P5" s="3"/>
      <c r="Q5" s="3"/>
      <c r="R5" s="3"/>
      <c r="S5" s="3"/>
      <c r="T5" s="3" t="s">
        <v>103</v>
      </c>
      <c r="U5" s="3"/>
      <c r="V5" s="3"/>
      <c r="W5" s="291"/>
      <c r="X5" s="354"/>
      <c r="Y5" s="354"/>
      <c r="Z5" s="354"/>
    </row>
    <row r="6" spans="1:26" s="5" customFormat="1" ht="15.75">
      <c r="A6" s="3" t="s">
        <v>102</v>
      </c>
      <c r="B6" s="3"/>
      <c r="C6" s="3"/>
      <c r="D6" s="3"/>
      <c r="E6" s="3"/>
      <c r="F6" s="364"/>
      <c r="G6" s="364"/>
      <c r="H6" s="3"/>
      <c r="I6" s="3"/>
      <c r="J6" s="3"/>
      <c r="K6" s="3"/>
      <c r="L6" s="3"/>
      <c r="M6" s="3"/>
      <c r="N6" s="3"/>
      <c r="O6" s="3"/>
      <c r="P6" s="3"/>
      <c r="Q6" s="3"/>
      <c r="R6" s="3"/>
      <c r="S6" s="3"/>
      <c r="T6" s="3"/>
      <c r="U6" s="3"/>
      <c r="V6" s="3"/>
      <c r="W6" s="291"/>
      <c r="X6" s="354"/>
      <c r="Y6" s="354"/>
      <c r="Z6" s="354"/>
    </row>
    <row r="7" spans="1:26" s="5" customFormat="1" ht="15.75">
      <c r="A7" s="6"/>
      <c r="B7" s="3"/>
      <c r="C7" s="3"/>
      <c r="D7" s="3"/>
      <c r="E7" s="3"/>
      <c r="F7" s="364"/>
      <c r="G7" s="364"/>
      <c r="H7" s="3"/>
      <c r="I7" s="3"/>
      <c r="J7" s="3"/>
      <c r="K7" s="3"/>
      <c r="L7" s="3"/>
      <c r="M7" s="3"/>
      <c r="N7" s="3"/>
      <c r="O7" s="3"/>
      <c r="P7" s="3"/>
      <c r="Q7" s="3"/>
      <c r="R7" s="3"/>
      <c r="S7" s="3"/>
      <c r="T7" s="3"/>
      <c r="U7" s="3"/>
      <c r="V7" s="3"/>
      <c r="W7" s="291"/>
      <c r="X7" s="354"/>
      <c r="Y7" s="354"/>
      <c r="Z7" s="354"/>
    </row>
    <row r="8" spans="1:26" s="5" customFormat="1" ht="15.75">
      <c r="A8" s="291"/>
      <c r="B8" s="3"/>
      <c r="C8" s="3"/>
      <c r="D8" s="3"/>
      <c r="E8" s="3"/>
      <c r="F8" s="364"/>
      <c r="G8" s="364"/>
      <c r="H8" s="3"/>
      <c r="I8" s="3"/>
      <c r="J8" s="3"/>
      <c r="K8" s="3"/>
      <c r="L8" s="3"/>
      <c r="M8" s="3"/>
      <c r="N8" s="3"/>
      <c r="O8" s="3"/>
      <c r="P8" s="3"/>
      <c r="Q8" s="3"/>
      <c r="R8" s="3"/>
      <c r="S8" s="3"/>
      <c r="T8" s="3"/>
      <c r="U8" s="3"/>
      <c r="V8" s="3"/>
      <c r="W8" s="291"/>
      <c r="X8" s="354"/>
      <c r="Y8" s="354"/>
      <c r="Z8" s="354"/>
    </row>
    <row r="9" spans="1:26" s="5" customFormat="1" ht="8.1" customHeight="1">
      <c r="A9" s="291"/>
      <c r="B9" s="3"/>
      <c r="C9" s="3"/>
      <c r="D9" s="3"/>
      <c r="E9" s="3"/>
      <c r="F9" s="3"/>
      <c r="G9" s="364"/>
      <c r="H9" s="3"/>
      <c r="I9" s="3"/>
      <c r="J9" s="3"/>
      <c r="K9" s="3"/>
      <c r="L9" s="3"/>
      <c r="M9" s="3"/>
      <c r="N9" s="3"/>
      <c r="O9" s="3"/>
      <c r="P9" s="3"/>
      <c r="Q9" s="3"/>
      <c r="R9" s="3"/>
      <c r="S9" s="3"/>
      <c r="T9" s="3"/>
      <c r="U9" s="3"/>
      <c r="V9" s="3"/>
      <c r="W9" s="291"/>
      <c r="X9" s="291"/>
      <c r="Y9" s="291"/>
      <c r="Z9" s="364"/>
    </row>
    <row r="10" spans="1:26" s="5" customFormat="1" ht="15.75">
      <c r="A10" s="291"/>
      <c r="B10" s="3"/>
      <c r="C10" s="3"/>
      <c r="D10" s="3"/>
      <c r="E10" s="3"/>
      <c r="F10" s="3"/>
      <c r="G10" s="364"/>
      <c r="H10" s="3"/>
      <c r="I10" s="3"/>
      <c r="J10" s="3"/>
      <c r="K10" s="3"/>
      <c r="L10" s="3"/>
      <c r="M10" s="3"/>
      <c r="N10" s="3"/>
      <c r="O10" s="3"/>
      <c r="P10" s="3"/>
      <c r="Q10" s="3"/>
      <c r="R10" s="3"/>
      <c r="S10" s="3"/>
      <c r="T10" s="3"/>
      <c r="U10" s="3"/>
      <c r="V10" s="3"/>
      <c r="W10" s="291"/>
      <c r="X10" s="354"/>
      <c r="Y10" s="354"/>
      <c r="Z10" s="354"/>
    </row>
    <row r="11" spans="1:26" s="5" customFormat="1" ht="15.75">
      <c r="A11" s="291"/>
      <c r="B11" s="3"/>
      <c r="C11" s="3"/>
      <c r="D11" s="3"/>
      <c r="E11" s="3"/>
      <c r="F11" s="3"/>
      <c r="G11" s="364"/>
      <c r="H11" s="3"/>
      <c r="I11" s="3"/>
      <c r="J11" s="3"/>
      <c r="K11" s="3"/>
      <c r="L11" s="291"/>
      <c r="M11" s="52"/>
      <c r="N11" s="503"/>
      <c r="O11" s="503"/>
      <c r="P11" s="503"/>
      <c r="Q11" s="986"/>
      <c r="R11" s="52"/>
      <c r="S11" s="52"/>
      <c r="T11" s="52"/>
      <c r="U11" s="52"/>
      <c r="V11" s="52"/>
      <c r="W11" s="291"/>
      <c r="X11" s="354"/>
      <c r="Y11" s="354"/>
      <c r="Z11" s="354"/>
    </row>
    <row r="12" spans="1:26" ht="16.350000000000001" customHeight="1">
      <c r="A12" s="291"/>
      <c r="B12" s="52"/>
      <c r="C12" s="52" t="s">
        <v>201</v>
      </c>
      <c r="D12" s="52"/>
      <c r="E12" s="3"/>
      <c r="F12" s="52"/>
      <c r="G12" s="52" t="s">
        <v>202</v>
      </c>
      <c r="H12" s="52"/>
      <c r="I12" s="52"/>
      <c r="J12" s="52"/>
      <c r="K12" s="3"/>
      <c r="L12" s="52"/>
      <c r="M12" s="52"/>
      <c r="N12" s="503"/>
      <c r="O12" s="503"/>
      <c r="P12" s="503"/>
      <c r="Q12" s="52" t="s">
        <v>203</v>
      </c>
      <c r="R12" s="52"/>
      <c r="S12" s="52"/>
      <c r="T12" s="52"/>
      <c r="U12" s="52"/>
      <c r="V12" s="52"/>
      <c r="W12" s="1803" t="s">
        <v>204</v>
      </c>
      <c r="X12" s="695"/>
      <c r="Y12" s="695"/>
      <c r="Z12" s="8"/>
    </row>
    <row r="13" spans="1:26" ht="13.35" customHeight="1">
      <c r="A13" s="291"/>
      <c r="B13" s="987"/>
      <c r="C13" s="987"/>
      <c r="D13" s="987"/>
      <c r="E13" s="291"/>
      <c r="F13" s="987"/>
      <c r="G13" s="988"/>
      <c r="H13" s="987"/>
      <c r="I13" s="291"/>
      <c r="J13" s="291"/>
      <c r="K13" s="291"/>
      <c r="L13" s="987"/>
      <c r="M13" s="987"/>
      <c r="N13" s="987"/>
      <c r="O13" s="987"/>
      <c r="P13" s="987"/>
      <c r="Q13" s="987"/>
      <c r="R13" s="987"/>
      <c r="S13" s="987"/>
      <c r="T13" s="987"/>
      <c r="U13" s="291"/>
      <c r="V13" s="402"/>
      <c r="W13" s="7"/>
      <c r="X13" s="9"/>
      <c r="Y13" s="9"/>
      <c r="Z13" s="9"/>
    </row>
    <row r="14" spans="1:26" ht="16.350000000000001" customHeight="1">
      <c r="A14" s="291"/>
      <c r="B14" s="52" t="s">
        <v>109</v>
      </c>
      <c r="C14" s="3"/>
      <c r="D14" s="52" t="str">
        <f>'Exhibit A'!F11</f>
        <v>3 MOS. ENDED</v>
      </c>
      <c r="E14" s="3"/>
      <c r="F14" s="52" t="s">
        <v>109</v>
      </c>
      <c r="G14" s="57"/>
      <c r="H14" s="52" t="str">
        <f>D14</f>
        <v>3 MOS. ENDED</v>
      </c>
      <c r="I14" s="52"/>
      <c r="J14" s="52"/>
      <c r="K14" s="3"/>
      <c r="L14" s="52" t="s">
        <v>109</v>
      </c>
      <c r="M14" s="3"/>
      <c r="N14" s="52" t="str">
        <f>D14</f>
        <v>3 MOS. ENDED</v>
      </c>
      <c r="O14" s="52"/>
      <c r="P14" s="52"/>
      <c r="Q14" s="3"/>
      <c r="R14" s="52" t="s">
        <v>109</v>
      </c>
      <c r="S14" s="3"/>
      <c r="T14" s="52" t="str">
        <f>H14</f>
        <v>3 MOS. ENDED</v>
      </c>
      <c r="U14" s="52"/>
      <c r="V14" s="394"/>
      <c r="W14" s="319" t="s">
        <v>110</v>
      </c>
      <c r="X14" s="57"/>
      <c r="Y14" s="320" t="s">
        <v>111</v>
      </c>
      <c r="Z14" s="9"/>
    </row>
    <row r="15" spans="1:26" ht="16.350000000000001" customHeight="1">
      <c r="A15" s="291"/>
      <c r="B15" s="1796" t="str">
        <f>'Exhibit A'!D12</f>
        <v>JUNE 2026</v>
      </c>
      <c r="C15" s="3"/>
      <c r="D15" s="1799" t="str">
        <f>'Exhibit A'!F12</f>
        <v>JUNE 30, 2026</v>
      </c>
      <c r="E15" s="3"/>
      <c r="F15" s="52" t="str">
        <f>B15</f>
        <v>JUNE 2026</v>
      </c>
      <c r="G15" s="3"/>
      <c r="H15" s="52" t="str">
        <f>D15</f>
        <v>JUNE 30, 2026</v>
      </c>
      <c r="I15" s="52"/>
      <c r="J15" s="52"/>
      <c r="K15" s="3"/>
      <c r="L15" s="52" t="str">
        <f>B15</f>
        <v>JUNE 2026</v>
      </c>
      <c r="M15" s="3"/>
      <c r="N15" s="52" t="str">
        <f>'Exhibit A'!X12</f>
        <v>JUNE 30, 2026</v>
      </c>
      <c r="O15" s="52"/>
      <c r="P15" s="52"/>
      <c r="Q15" s="3"/>
      <c r="R15" s="1220" t="str">
        <f>'Exhibit A'!AB12</f>
        <v>JUNE 2025</v>
      </c>
      <c r="S15" s="3"/>
      <c r="T15" s="1220" t="str">
        <f>'Exhibit A'!AD12</f>
        <v>JUNE 30, 2025</v>
      </c>
      <c r="U15" s="314"/>
      <c r="V15" s="395"/>
      <c r="W15" s="1219" t="s">
        <v>112</v>
      </c>
      <c r="X15" s="57"/>
      <c r="Y15" s="989" t="s">
        <v>113</v>
      </c>
      <c r="Z15" s="9"/>
    </row>
    <row r="16" spans="1:26" ht="13.35" customHeight="1">
      <c r="A16" s="291"/>
      <c r="B16" s="987"/>
      <c r="C16" s="291"/>
      <c r="D16" s="987" t="s">
        <v>103</v>
      </c>
      <c r="E16" s="291"/>
      <c r="F16" s="987"/>
      <c r="G16" s="291"/>
      <c r="H16" s="988" t="s">
        <v>103</v>
      </c>
      <c r="I16" s="364"/>
      <c r="J16" s="1495"/>
      <c r="K16" s="291"/>
      <c r="L16" s="987"/>
      <c r="M16" s="291"/>
      <c r="N16" s="987"/>
      <c r="O16" s="291"/>
      <c r="P16" s="1496"/>
      <c r="Q16" s="291"/>
      <c r="R16" s="291"/>
      <c r="S16" s="291"/>
      <c r="T16" s="291"/>
      <c r="U16" s="291"/>
      <c r="V16" s="402"/>
      <c r="W16" s="7"/>
      <c r="X16" s="291"/>
      <c r="Y16" s="9"/>
      <c r="Z16" s="291"/>
    </row>
    <row r="17" spans="1:27" ht="16.350000000000001" customHeight="1">
      <c r="A17" s="3" t="s">
        <v>114</v>
      </c>
      <c r="B17" s="291"/>
      <c r="C17" s="291"/>
      <c r="D17" s="291"/>
      <c r="E17" s="291"/>
      <c r="F17" s="291"/>
      <c r="G17" s="291"/>
      <c r="H17" s="291"/>
      <c r="I17" s="291"/>
      <c r="J17" s="1496"/>
      <c r="K17" s="291"/>
      <c r="L17" s="291"/>
      <c r="M17" s="291"/>
      <c r="N17" s="291"/>
      <c r="O17" s="291"/>
      <c r="P17" s="1496"/>
      <c r="Q17" s="291"/>
      <c r="R17" s="291"/>
      <c r="S17" s="291"/>
      <c r="T17" s="291"/>
      <c r="U17" s="291"/>
      <c r="V17" s="402"/>
      <c r="W17" s="7"/>
      <c r="X17" s="291"/>
      <c r="Y17" s="9"/>
      <c r="Z17" s="291"/>
    </row>
    <row r="18" spans="1:27" ht="16.350000000000001" customHeight="1">
      <c r="A18" s="291" t="s">
        <v>119</v>
      </c>
      <c r="B18" s="274">
        <f>'Exhibit J'!G17</f>
        <v>316.59999999999997</v>
      </c>
      <c r="C18" s="274"/>
      <c r="D18" s="274">
        <f>+'Exhibit J'!AB17</f>
        <v>913.1</v>
      </c>
      <c r="E18" s="274"/>
      <c r="F18" s="274">
        <f>'Exhibit K'!F17</f>
        <v>64.5</v>
      </c>
      <c r="G18" s="274"/>
      <c r="H18" s="274">
        <f>+'Exhibit K'!AA17</f>
        <v>138.1</v>
      </c>
      <c r="I18" s="274"/>
      <c r="J18" s="1497"/>
      <c r="K18" s="274"/>
      <c r="L18" s="274">
        <f>ROUND(SUM(B18)+SUM(F18),1)</f>
        <v>381.1</v>
      </c>
      <c r="M18" s="274"/>
      <c r="N18" s="274">
        <f>ROUND(SUM(D18)+SUM(H18),1)</f>
        <v>1051.2</v>
      </c>
      <c r="O18" s="274"/>
      <c r="P18" s="1497"/>
      <c r="Q18" s="274"/>
      <c r="R18" s="274">
        <v>347.4</v>
      </c>
      <c r="S18" s="274"/>
      <c r="T18" s="274">
        <f>'Exhibit J'!AE17+'Exhibit K'!AD17</f>
        <v>892.5</v>
      </c>
      <c r="U18" s="274"/>
      <c r="V18" s="522"/>
      <c r="W18" s="274">
        <f>ROUND(SUM(N18-T18),1)</f>
        <v>158.69999999999999</v>
      </c>
      <c r="X18" s="379"/>
      <c r="Y18" s="283">
        <f>ROUND(+W18/T18,3)</f>
        <v>0.17799999999999999</v>
      </c>
      <c r="Z18" s="379"/>
      <c r="AA18" s="1486"/>
    </row>
    <row r="19" spans="1:27" ht="16.350000000000001" customHeight="1">
      <c r="A19" s="350" t="s">
        <v>205</v>
      </c>
      <c r="B19" s="264">
        <f>'Exhibit J'!G18</f>
        <v>2.0000000000000009</v>
      </c>
      <c r="C19" s="264"/>
      <c r="D19" s="264">
        <f>+'Exhibit J'!AB18</f>
        <v>5.9</v>
      </c>
      <c r="E19" s="264"/>
      <c r="F19" s="275">
        <v>0</v>
      </c>
      <c r="G19" s="264"/>
      <c r="H19" s="275">
        <v>0</v>
      </c>
      <c r="I19" s="275"/>
      <c r="J19" s="1498"/>
      <c r="K19" s="264"/>
      <c r="L19" s="264">
        <f>ROUND(SUM(B19)+SUM(F19),1)</f>
        <v>2</v>
      </c>
      <c r="M19" s="264"/>
      <c r="N19" s="264">
        <f>ROUND(SUM(D19)+SUM(H19),1)</f>
        <v>5.9</v>
      </c>
      <c r="O19" s="264"/>
      <c r="P19" s="990"/>
      <c r="Q19" s="264"/>
      <c r="R19" s="264">
        <v>1</v>
      </c>
      <c r="S19" s="264"/>
      <c r="T19" s="264">
        <f>'Exhibit J'!AE18</f>
        <v>3</v>
      </c>
      <c r="U19" s="264"/>
      <c r="V19" s="525"/>
      <c r="W19" s="264">
        <f>ROUND(SUM(N19-T19),1)</f>
        <v>2.9</v>
      </c>
      <c r="X19" s="526"/>
      <c r="Y19" s="1072">
        <f>ROUND(+W19/T19,3)</f>
        <v>0.96699999999999997</v>
      </c>
      <c r="Z19" s="268"/>
      <c r="AA19" s="1486"/>
    </row>
    <row r="20" spans="1:27" ht="16.350000000000001" customHeight="1">
      <c r="A20" s="291" t="s">
        <v>206</v>
      </c>
      <c r="B20" s="264">
        <f>'Exhibit J'!G19</f>
        <v>355.7999999999999</v>
      </c>
      <c r="C20" s="264"/>
      <c r="D20" s="264">
        <f>+'Exhibit J'!AB19</f>
        <v>972.9</v>
      </c>
      <c r="E20" s="264"/>
      <c r="F20" s="275">
        <v>0</v>
      </c>
      <c r="G20" s="264"/>
      <c r="H20" s="275">
        <v>0</v>
      </c>
      <c r="I20" s="275"/>
      <c r="J20" s="1498"/>
      <c r="K20" s="264"/>
      <c r="L20" s="382">
        <f>ROUND(SUM(B20+F20),1)</f>
        <v>355.8</v>
      </c>
      <c r="M20" s="264"/>
      <c r="N20" s="264">
        <f>ROUND(SUM(D20)+SUM(H20),1)</f>
        <v>972.9</v>
      </c>
      <c r="O20" s="264"/>
      <c r="P20" s="990"/>
      <c r="Q20" s="264"/>
      <c r="R20" s="264">
        <v>234.9</v>
      </c>
      <c r="S20" s="367"/>
      <c r="T20" s="264">
        <f>'Exhibit J'!AE19</f>
        <v>680.3</v>
      </c>
      <c r="U20" s="264"/>
      <c r="V20" s="525"/>
      <c r="W20" s="264">
        <f>ROUND(SUM(N20-T20),1)</f>
        <v>292.60000000000002</v>
      </c>
      <c r="X20" s="526"/>
      <c r="Y20" s="607">
        <f>ROUND(+W20/T20,3)</f>
        <v>0.43</v>
      </c>
      <c r="Z20" s="268"/>
      <c r="AA20" s="1486"/>
    </row>
    <row r="21" spans="1:27" ht="15.75">
      <c r="A21" s="3" t="s">
        <v>121</v>
      </c>
      <c r="B21" s="1797">
        <f>ROUND(SUM(B18:B20),1)</f>
        <v>674.4</v>
      </c>
      <c r="C21" s="13"/>
      <c r="D21" s="1797">
        <f>ROUND(SUM(D18:D20),1)</f>
        <v>1891.9</v>
      </c>
      <c r="E21" s="13"/>
      <c r="F21" s="1797">
        <f>ROUND(SUM(F18:F20),1)</f>
        <v>64.5</v>
      </c>
      <c r="G21" s="13"/>
      <c r="H21" s="1797">
        <f>ROUND(SUM(H18:H20),1)</f>
        <v>138.1</v>
      </c>
      <c r="I21" s="13"/>
      <c r="J21" s="1499"/>
      <c r="K21" s="13"/>
      <c r="L21" s="1797">
        <f>SUM(L18:L20)</f>
        <v>738.90000000000009</v>
      </c>
      <c r="M21" s="13"/>
      <c r="N21" s="1797">
        <f>SUM(N18:N20)</f>
        <v>2030</v>
      </c>
      <c r="O21" s="13"/>
      <c r="P21" s="1499"/>
      <c r="Q21" s="13"/>
      <c r="R21" s="1797">
        <f>ROUND(SUM(R18:R20),1)</f>
        <v>583.29999999999995</v>
      </c>
      <c r="S21" s="13"/>
      <c r="T21" s="1797">
        <f>ROUND(SUM(T18:T20),1)</f>
        <v>1575.8</v>
      </c>
      <c r="U21" s="13"/>
      <c r="V21" s="98"/>
      <c r="W21" s="1797">
        <f>ROUND(SUM(W18:W20),1)</f>
        <v>454.2</v>
      </c>
      <c r="X21" s="268"/>
      <c r="Y21" s="1805">
        <f>ROUND(+W21/T21,3)</f>
        <v>0.28799999999999998</v>
      </c>
      <c r="Z21" s="268"/>
      <c r="AA21" s="1486"/>
    </row>
    <row r="22" spans="1:27" ht="15.75">
      <c r="A22" s="3"/>
      <c r="B22" s="264"/>
      <c r="C22" s="264"/>
      <c r="D22" s="264"/>
      <c r="E22" s="264"/>
      <c r="F22" s="264"/>
      <c r="G22" s="264"/>
      <c r="H22" s="264"/>
      <c r="I22" s="264"/>
      <c r="J22" s="990"/>
      <c r="K22" s="264"/>
      <c r="L22" s="264"/>
      <c r="M22" s="264"/>
      <c r="N22" s="264"/>
      <c r="O22" s="264"/>
      <c r="P22" s="990"/>
      <c r="Q22" s="264"/>
      <c r="R22" s="264"/>
      <c r="S22" s="264"/>
      <c r="T22" s="264"/>
      <c r="U22" s="264"/>
      <c r="V22" s="525"/>
      <c r="W22" s="364"/>
      <c r="X22" s="291"/>
      <c r="Y22" s="364"/>
      <c r="Z22" s="291"/>
      <c r="AA22" s="1486"/>
    </row>
    <row r="23" spans="1:27" ht="16.350000000000001" customHeight="1">
      <c r="A23" s="3" t="s">
        <v>122</v>
      </c>
      <c r="B23" s="264"/>
      <c r="C23" s="264"/>
      <c r="D23" s="264"/>
      <c r="E23" s="264"/>
      <c r="F23" s="264"/>
      <c r="G23" s="264"/>
      <c r="H23" s="264"/>
      <c r="I23" s="264"/>
      <c r="J23" s="990"/>
      <c r="K23" s="264"/>
      <c r="L23" s="264"/>
      <c r="M23" s="264"/>
      <c r="N23" s="264"/>
      <c r="O23" s="264"/>
      <c r="P23" s="990"/>
      <c r="Q23" s="264"/>
      <c r="R23" s="264"/>
      <c r="S23" s="264"/>
      <c r="T23" s="264"/>
      <c r="U23" s="264"/>
      <c r="V23" s="525"/>
      <c r="W23" s="364"/>
      <c r="X23" s="291"/>
      <c r="Y23" s="364"/>
      <c r="Z23" s="291"/>
      <c r="AA23" s="1486"/>
    </row>
    <row r="24" spans="1:27" ht="16.350000000000001" customHeight="1">
      <c r="A24" s="291" t="s">
        <v>135</v>
      </c>
      <c r="B24" s="264"/>
      <c r="C24" s="264"/>
      <c r="D24" s="264"/>
      <c r="E24" s="264"/>
      <c r="F24" s="264"/>
      <c r="G24" s="264"/>
      <c r="H24" s="264"/>
      <c r="I24" s="264"/>
      <c r="J24" s="990"/>
      <c r="K24" s="264"/>
      <c r="L24" s="264"/>
      <c r="M24" s="264"/>
      <c r="N24" s="264"/>
      <c r="O24" s="264"/>
      <c r="P24" s="990"/>
      <c r="Q24" s="264"/>
      <c r="R24" s="264"/>
      <c r="S24" s="264"/>
      <c r="T24" s="264"/>
      <c r="U24" s="264"/>
      <c r="V24" s="525"/>
      <c r="W24" s="364"/>
      <c r="X24" s="291"/>
      <c r="Y24" s="364"/>
      <c r="Z24" s="291"/>
      <c r="AA24" s="1486"/>
    </row>
    <row r="25" spans="1:27" ht="16.350000000000001" customHeight="1">
      <c r="A25" s="291" t="s">
        <v>207</v>
      </c>
      <c r="B25" s="264">
        <f>'Exhibit J'!G26</f>
        <v>146.49999999999991</v>
      </c>
      <c r="C25" s="264"/>
      <c r="D25" s="264">
        <f>+'Exhibit J'!AB26</f>
        <v>532.29999999999995</v>
      </c>
      <c r="E25" s="264"/>
      <c r="F25" s="264">
        <f>'Exhibit K'!F24</f>
        <v>12.799999999999999</v>
      </c>
      <c r="G25" s="264"/>
      <c r="H25" s="264">
        <f>+'Exhibit K'!AA24</f>
        <v>39.799999999999997</v>
      </c>
      <c r="I25" s="264"/>
      <c r="J25" s="990"/>
      <c r="K25" s="264"/>
      <c r="L25" s="264">
        <f>ROUND(SUM(B25)+SUM(F25),1)</f>
        <v>159.30000000000001</v>
      </c>
      <c r="M25" s="264"/>
      <c r="N25" s="264">
        <f>ROUND(SUM(D25)+SUM(H25),1)</f>
        <v>572.1</v>
      </c>
      <c r="O25" s="264"/>
      <c r="P25" s="990"/>
      <c r="Q25" s="264"/>
      <c r="R25" s="264">
        <v>145.69999999999999</v>
      </c>
      <c r="S25" s="264"/>
      <c r="T25" s="264">
        <f>'Exhibit J'!AE26+'Exhibit K'!AD24</f>
        <v>552.20000000000005</v>
      </c>
      <c r="U25" s="264"/>
      <c r="V25" s="525"/>
      <c r="W25" s="264">
        <f>ROUND(SUM(N25-T25),1)</f>
        <v>19.899999999999999</v>
      </c>
      <c r="X25" s="268"/>
      <c r="Y25" s="607">
        <f>ROUND(+W25/T25,3)</f>
        <v>3.5999999999999997E-2</v>
      </c>
      <c r="Z25" s="291"/>
      <c r="AA25" s="1486"/>
    </row>
    <row r="26" spans="1:27" ht="16.350000000000001" customHeight="1">
      <c r="A26" s="291" t="s">
        <v>208</v>
      </c>
      <c r="B26" s="264">
        <f>'Exhibit J'!G27</f>
        <v>57.499999999999993</v>
      </c>
      <c r="C26" s="264"/>
      <c r="D26" s="264">
        <f>+'Exhibit J'!AB27</f>
        <v>129.19999999999999</v>
      </c>
      <c r="E26" s="264"/>
      <c r="F26" s="264">
        <f>'Exhibit K'!F25</f>
        <v>58.099999999999994</v>
      </c>
      <c r="G26" s="264"/>
      <c r="H26" s="264">
        <f>+'Exhibit K'!AA25</f>
        <v>167.6</v>
      </c>
      <c r="I26" s="264"/>
      <c r="J26" s="990"/>
      <c r="K26" s="264"/>
      <c r="L26" s="264">
        <f>ROUND(SUM(B26)+SUM(F26),1)</f>
        <v>115.6</v>
      </c>
      <c r="M26" s="264"/>
      <c r="N26" s="264">
        <f>ROUND(SUM(D26)+SUM(H26),1)</f>
        <v>296.8</v>
      </c>
      <c r="O26" s="264"/>
      <c r="P26" s="990"/>
      <c r="Q26" s="264"/>
      <c r="R26" s="264">
        <v>127.5</v>
      </c>
      <c r="S26" s="264"/>
      <c r="T26" s="264">
        <f>'Exhibit J'!AE27+'Exhibit K'!AD25</f>
        <v>348.2</v>
      </c>
      <c r="U26" s="264"/>
      <c r="V26" s="525"/>
      <c r="W26" s="264">
        <f>ROUND(SUM(N26-T26),1)</f>
        <v>-51.4</v>
      </c>
      <c r="X26" s="268"/>
      <c r="Y26" s="607">
        <f>ROUND(+W26/T26,3)</f>
        <v>-0.14799999999999999</v>
      </c>
      <c r="Z26" s="291"/>
      <c r="AA26" s="1486"/>
    </row>
    <row r="27" spans="1:27" ht="16.350000000000001" customHeight="1">
      <c r="A27" s="291" t="s">
        <v>209</v>
      </c>
      <c r="B27" s="264">
        <f>'Exhibit J'!G28</f>
        <v>51.599999999999994</v>
      </c>
      <c r="C27" s="264"/>
      <c r="D27" s="264">
        <f>+'Exhibit J'!AB28</f>
        <v>198.4</v>
      </c>
      <c r="E27" s="264"/>
      <c r="F27" s="264">
        <f>'Exhibit K'!F26</f>
        <v>20.5</v>
      </c>
      <c r="G27" s="264"/>
      <c r="H27" s="264">
        <f>+'Exhibit K'!AA26</f>
        <v>20.5</v>
      </c>
      <c r="I27" s="264"/>
      <c r="J27" s="990"/>
      <c r="K27" s="264"/>
      <c r="L27" s="264">
        <f>ROUND(SUM(B27)+SUM(F27),1)</f>
        <v>72.099999999999994</v>
      </c>
      <c r="M27" s="264"/>
      <c r="N27" s="264">
        <f>ROUND(SUM(D27)+SUM(H27),1)</f>
        <v>218.9</v>
      </c>
      <c r="O27" s="264"/>
      <c r="P27" s="990"/>
      <c r="Q27" s="264"/>
      <c r="R27" s="264">
        <v>40.799999999999997</v>
      </c>
      <c r="S27" s="367"/>
      <c r="T27" s="264">
        <f>'Exhibit J'!AE28+'Exhibit K'!AD26</f>
        <v>191.70000000000002</v>
      </c>
      <c r="U27" s="264"/>
      <c r="V27" s="525"/>
      <c r="W27" s="264">
        <f>ROUND(SUM(N27-T27),1)</f>
        <v>27.2</v>
      </c>
      <c r="X27" s="268"/>
      <c r="Y27" s="607">
        <f>ROUND(+W27/T27,3)</f>
        <v>0.14199999999999999</v>
      </c>
      <c r="Z27" s="291"/>
      <c r="AA27" s="1486"/>
    </row>
    <row r="28" spans="1:27" ht="15.75" customHeight="1">
      <c r="A28" s="350" t="s">
        <v>210</v>
      </c>
      <c r="B28" s="264">
        <f>'Exhibit J'!G29</f>
        <v>358.20000000000005</v>
      </c>
      <c r="C28" s="264"/>
      <c r="D28" s="264">
        <f>+'Exhibit J'!AB29</f>
        <v>978</v>
      </c>
      <c r="E28" s="264"/>
      <c r="F28" s="275">
        <v>0</v>
      </c>
      <c r="G28" s="264"/>
      <c r="H28" s="835">
        <v>0</v>
      </c>
      <c r="I28" s="275"/>
      <c r="J28" s="1498"/>
      <c r="K28" s="264"/>
      <c r="L28" s="264">
        <f>ROUND(SUM(B28)+SUM(F28),1)</f>
        <v>358.2</v>
      </c>
      <c r="M28" s="367"/>
      <c r="N28" s="264">
        <f>ROUND(SUM(D28)+SUM(H28),1)</f>
        <v>978</v>
      </c>
      <c r="O28" s="264"/>
      <c r="P28" s="990"/>
      <c r="Q28" s="264"/>
      <c r="R28" s="264">
        <v>6235.9</v>
      </c>
      <c r="S28" s="287"/>
      <c r="T28" s="1935">
        <f>'Exhibit J'!AE29</f>
        <v>6683.3</v>
      </c>
      <c r="U28" s="288"/>
      <c r="V28" s="527"/>
      <c r="W28" s="264">
        <f>ROUND(SUM(N28-T28),1)</f>
        <v>-5705.3</v>
      </c>
      <c r="X28" s="268"/>
      <c r="Y28" s="607">
        <f>ROUND(IF(T28=0,0,W28/ABS(T28)),3)</f>
        <v>-0.85399999999999998</v>
      </c>
      <c r="Z28" s="268"/>
      <c r="AA28" s="1486"/>
    </row>
    <row r="29" spans="1:27" ht="15.75">
      <c r="A29" s="3" t="s">
        <v>162</v>
      </c>
      <c r="B29" s="1797">
        <f>ROUND(SUM(B25:B28),1)</f>
        <v>613.79999999999995</v>
      </c>
      <c r="C29" s="13"/>
      <c r="D29" s="1797">
        <f>ROUND(SUM(D25:D28),1)</f>
        <v>1837.9</v>
      </c>
      <c r="E29" s="13"/>
      <c r="F29" s="1797">
        <f>ROUND(SUM(F24:F28),1)</f>
        <v>91.4</v>
      </c>
      <c r="G29" s="13"/>
      <c r="H29" s="1797">
        <f>ROUND(SUM(H25:H28),1)</f>
        <v>227.9</v>
      </c>
      <c r="I29" s="13"/>
      <c r="J29" s="1499"/>
      <c r="K29" s="13"/>
      <c r="L29" s="1797">
        <f>ROUND(SUM(L25:L28),1)</f>
        <v>705.2</v>
      </c>
      <c r="M29" s="13"/>
      <c r="N29" s="1797">
        <f>ROUND(SUM(N25:N28),1)</f>
        <v>2065.8000000000002</v>
      </c>
      <c r="O29" s="13"/>
      <c r="P29" s="1499"/>
      <c r="Q29" s="13"/>
      <c r="R29" s="1797">
        <f>ROUND(SUM(R25:R28),1)</f>
        <v>6549.9</v>
      </c>
      <c r="S29" s="13"/>
      <c r="T29" s="1797">
        <f>ROUND(SUM(T25:T28),1)</f>
        <v>7775.4</v>
      </c>
      <c r="U29" s="13"/>
      <c r="V29" s="98"/>
      <c r="W29" s="1797">
        <f>ROUND(SUM(W25:W28),1)</f>
        <v>-5709.6</v>
      </c>
      <c r="X29" s="268"/>
      <c r="Y29" s="1805">
        <f>ROUND(+W29/T29,3)</f>
        <v>-0.73399999999999999</v>
      </c>
      <c r="Z29" s="268"/>
      <c r="AA29" s="1486"/>
    </row>
    <row r="30" spans="1:27" ht="15.75">
      <c r="A30" s="3"/>
      <c r="B30" s="264"/>
      <c r="C30" s="264"/>
      <c r="D30" s="264"/>
      <c r="E30" s="264"/>
      <c r="F30" s="264"/>
      <c r="G30" s="264"/>
      <c r="H30" s="264"/>
      <c r="I30" s="264"/>
      <c r="J30" s="990"/>
      <c r="K30" s="264"/>
      <c r="L30" s="264"/>
      <c r="M30" s="264"/>
      <c r="N30" s="264"/>
      <c r="O30" s="264"/>
      <c r="P30" s="990"/>
      <c r="Q30" s="264"/>
      <c r="R30" s="264"/>
      <c r="S30" s="264"/>
      <c r="T30" s="264"/>
      <c r="U30" s="264"/>
      <c r="V30" s="525"/>
      <c r="W30" s="364"/>
      <c r="X30" s="291"/>
      <c r="Y30" s="364"/>
      <c r="Z30" s="291"/>
      <c r="AA30" s="1486"/>
    </row>
    <row r="31" spans="1:27" ht="16.350000000000001" customHeight="1">
      <c r="A31" s="3" t="s">
        <v>143</v>
      </c>
      <c r="B31" s="264"/>
      <c r="C31" s="264"/>
      <c r="D31" s="264"/>
      <c r="E31" s="264"/>
      <c r="F31" s="264"/>
      <c r="G31" s="264"/>
      <c r="H31" s="264"/>
      <c r="I31" s="264"/>
      <c r="J31" s="990"/>
      <c r="K31" s="264"/>
      <c r="L31" s="264"/>
      <c r="M31" s="264"/>
      <c r="N31" s="264"/>
      <c r="O31" s="264"/>
      <c r="P31" s="990"/>
      <c r="Q31" s="264"/>
      <c r="R31" s="264"/>
      <c r="S31" s="264"/>
      <c r="T31" s="264"/>
      <c r="U31" s="264"/>
      <c r="V31" s="525"/>
      <c r="W31" s="364"/>
      <c r="X31" s="291"/>
      <c r="Y31" s="364"/>
      <c r="Z31" s="291"/>
      <c r="AA31" s="1486"/>
    </row>
    <row r="32" spans="1:27" ht="15.75">
      <c r="A32" s="3" t="s">
        <v>211</v>
      </c>
      <c r="B32" s="1798">
        <f>ROUND(SUM(B21-B29),1)</f>
        <v>60.6</v>
      </c>
      <c r="C32" s="13"/>
      <c r="D32" s="357">
        <f>ROUND(SUM(D21-D29),1)</f>
        <v>54</v>
      </c>
      <c r="E32" s="13"/>
      <c r="F32" s="357">
        <f>ROUND(SUM(F21-F29),1)</f>
        <v>-26.9</v>
      </c>
      <c r="G32" s="13"/>
      <c r="H32" s="357">
        <f>ROUND(SUM(H21-H29),1)</f>
        <v>-89.8</v>
      </c>
      <c r="I32" s="13"/>
      <c r="J32" s="1499"/>
      <c r="K32" s="13"/>
      <c r="L32" s="357">
        <f>ROUND(SUM(L21-L29),1)</f>
        <v>33.700000000000003</v>
      </c>
      <c r="M32" s="13"/>
      <c r="N32" s="357">
        <f>ROUND(SUM(N21-N29),1)</f>
        <v>-35.799999999999997</v>
      </c>
      <c r="O32" s="13"/>
      <c r="P32" s="1499"/>
      <c r="Q32" s="13"/>
      <c r="R32" s="357">
        <f>ROUND(SUM(R21-R29),1)</f>
        <v>-5966.6</v>
      </c>
      <c r="S32" s="13"/>
      <c r="T32" s="357">
        <f>ROUND(SUM(T21-T29),1)</f>
        <v>-6199.6</v>
      </c>
      <c r="U32" s="13"/>
      <c r="V32" s="98"/>
      <c r="W32" s="357">
        <f>ROUND(SUM(W21-W29),1)</f>
        <v>6163.8</v>
      </c>
      <c r="X32" s="291"/>
      <c r="Y32" s="1806">
        <f>-ROUND(+W32/T32,3)</f>
        <v>0.99399999999999999</v>
      </c>
      <c r="Z32" s="291"/>
      <c r="AA32" s="1486"/>
    </row>
    <row r="33" spans="1:27">
      <c r="A33" s="291"/>
      <c r="B33" s="264"/>
      <c r="C33" s="264"/>
      <c r="D33" s="264"/>
      <c r="E33" s="264"/>
      <c r="F33" s="264"/>
      <c r="G33" s="264"/>
      <c r="H33" s="264"/>
      <c r="I33" s="264"/>
      <c r="J33" s="990"/>
      <c r="K33" s="264"/>
      <c r="L33" s="264"/>
      <c r="M33" s="264"/>
      <c r="N33" s="264"/>
      <c r="O33" s="264"/>
      <c r="P33" s="990"/>
      <c r="Q33" s="264"/>
      <c r="R33" s="264"/>
      <c r="S33" s="264"/>
      <c r="T33" s="264"/>
      <c r="U33" s="264"/>
      <c r="V33" s="525"/>
      <c r="W33" s="364"/>
      <c r="X33" s="291"/>
      <c r="Y33" s="364"/>
      <c r="Z33" s="291"/>
      <c r="AA33" s="1486"/>
    </row>
    <row r="34" spans="1:27" ht="16.350000000000001" customHeight="1">
      <c r="A34" s="3" t="s">
        <v>145</v>
      </c>
      <c r="B34" s="264"/>
      <c r="C34" s="264"/>
      <c r="D34" s="264"/>
      <c r="E34" s="264"/>
      <c r="F34" s="264"/>
      <c r="G34" s="264"/>
      <c r="H34" s="264"/>
      <c r="I34" s="264"/>
      <c r="J34" s="990"/>
      <c r="K34" s="264"/>
      <c r="L34" s="264"/>
      <c r="M34" s="264"/>
      <c r="N34" s="264"/>
      <c r="O34" s="264"/>
      <c r="P34" s="990"/>
      <c r="Q34" s="264"/>
      <c r="R34" s="264"/>
      <c r="S34" s="264"/>
      <c r="T34" s="264"/>
      <c r="U34" s="264"/>
      <c r="V34" s="525"/>
      <c r="W34" s="364"/>
      <c r="X34" s="291"/>
      <c r="Y34" s="364"/>
      <c r="Z34" s="291"/>
      <c r="AA34" s="1486"/>
    </row>
    <row r="35" spans="1:27" ht="16.350000000000001" customHeight="1">
      <c r="A35" s="291" t="s">
        <v>147</v>
      </c>
      <c r="B35" s="275">
        <f>+'Exhibit J'!G39</f>
        <v>0</v>
      </c>
      <c r="C35" s="264"/>
      <c r="D35" s="275">
        <f>+'Exhibit J'!AB39</f>
        <v>0</v>
      </c>
      <c r="E35" s="264"/>
      <c r="F35" s="264">
        <f>'Exhibit K'!F36</f>
        <v>37</v>
      </c>
      <c r="G35" s="287"/>
      <c r="H35" s="288">
        <f>+'Exhibit K'!AA36</f>
        <v>41.6</v>
      </c>
      <c r="I35" s="288"/>
      <c r="J35" s="1500"/>
      <c r="K35" s="264"/>
      <c r="L35" s="264">
        <f>ROUND(SUM(B35)+SUM(F35),1)</f>
        <v>37</v>
      </c>
      <c r="M35" s="287"/>
      <c r="N35" s="264">
        <f>ROUND(SUM(D35)+SUM(H35),1)</f>
        <v>41.6</v>
      </c>
      <c r="O35" s="264"/>
      <c r="P35" s="990"/>
      <c r="Q35" s="264"/>
      <c r="R35" s="264">
        <v>6036</v>
      </c>
      <c r="S35" s="264"/>
      <c r="T35" s="289">
        <f>'Exhibit J'!AE39+'Exhibit K'!AD36</f>
        <v>6039.2</v>
      </c>
      <c r="U35" s="289"/>
      <c r="V35" s="528"/>
      <c r="W35" s="264">
        <f>ROUND(SUM(N35-T35),1)</f>
        <v>-5997.6</v>
      </c>
      <c r="X35" s="268"/>
      <c r="Y35" s="542">
        <f>ROUND(IF(W35=0,0,W35/(T35)),3)</f>
        <v>-0.99299999999999999</v>
      </c>
      <c r="Z35" s="991"/>
      <c r="AA35" s="1486"/>
    </row>
    <row r="36" spans="1:27" ht="16.350000000000001" customHeight="1">
      <c r="A36" s="291" t="s">
        <v>212</v>
      </c>
      <c r="B36" s="835">
        <f>+'Exhibit J'!G40</f>
        <v>0</v>
      </c>
      <c r="C36" s="367"/>
      <c r="D36" s="835">
        <f>+'Exhibit J'!AB40</f>
        <v>0</v>
      </c>
      <c r="E36" s="264"/>
      <c r="F36" s="264">
        <f>'Exhibit K'!F37</f>
        <v>-0.2</v>
      </c>
      <c r="G36" s="264"/>
      <c r="H36" s="288">
        <f>+'Exhibit K'!AA37</f>
        <v>-0.2</v>
      </c>
      <c r="I36" s="288"/>
      <c r="J36" s="1500"/>
      <c r="K36" s="264"/>
      <c r="L36" s="264">
        <f>ROUND(SUM(B36)+SUM(F36),1)</f>
        <v>-0.2</v>
      </c>
      <c r="M36" s="264"/>
      <c r="N36" s="264">
        <f>ROUND(SUM(D36)+SUM(H36),1)</f>
        <v>-0.2</v>
      </c>
      <c r="O36" s="264"/>
      <c r="P36" s="990"/>
      <c r="Q36" s="264"/>
      <c r="R36" s="264">
        <v>-0.1</v>
      </c>
      <c r="S36" s="367"/>
      <c r="T36" s="289">
        <f>'Exhibit J'!AE40+'Exhibit K'!AD37</f>
        <v>-0.1</v>
      </c>
      <c r="U36" s="289"/>
      <c r="V36" s="528"/>
      <c r="W36" s="1804">
        <f>-ROUND(SUM(N36-T36),1)</f>
        <v>0.1</v>
      </c>
      <c r="X36" s="268"/>
      <c r="Y36" s="1024">
        <f>ROUND(IF(T36=0,0,W36/ABS(T36)),3)</f>
        <v>1</v>
      </c>
      <c r="Z36" s="992"/>
      <c r="AA36" s="1486"/>
    </row>
    <row r="37" spans="1:27" ht="15.75">
      <c r="A37" s="3" t="s">
        <v>150</v>
      </c>
      <c r="B37" s="16">
        <f>ROUND(SUM(B35:B36),1)</f>
        <v>0</v>
      </c>
      <c r="C37" s="17"/>
      <c r="D37" s="16">
        <f>ROUND(SUM(D35:D36),1)</f>
        <v>0</v>
      </c>
      <c r="E37" s="13"/>
      <c r="F37" s="890">
        <f>ROUND(SUM(F35:F36),1)</f>
        <v>36.799999999999997</v>
      </c>
      <c r="G37" s="18"/>
      <c r="H37" s="1800">
        <f>ROUND(SUM(H35:H36),1)</f>
        <v>41.4</v>
      </c>
      <c r="I37" s="26"/>
      <c r="J37" s="1501"/>
      <c r="K37" s="13"/>
      <c r="L37" s="890">
        <f>ROUND(SUM(L35:L36),1)</f>
        <v>36.799999999999997</v>
      </c>
      <c r="M37" s="18"/>
      <c r="N37" s="1800">
        <f>ROUND(SUM(N35:N36),1)</f>
        <v>41.4</v>
      </c>
      <c r="O37" s="26"/>
      <c r="P37" s="1501"/>
      <c r="Q37" s="13"/>
      <c r="R37" s="890">
        <f>ROUND(SUM(R35:R36),1)</f>
        <v>6035.9</v>
      </c>
      <c r="S37" s="13"/>
      <c r="T37" s="890">
        <f>ROUND(SUM(T35:T36),1)</f>
        <v>6039.1</v>
      </c>
      <c r="U37" s="393"/>
      <c r="V37" s="396"/>
      <c r="W37" s="890">
        <f>N37-T37</f>
        <v>-5997.7000000000007</v>
      </c>
      <c r="X37" s="529"/>
      <c r="Y37" s="539">
        <f>ROUND(SUM(W37/T37),3)</f>
        <v>-0.99299999999999999</v>
      </c>
      <c r="Z37" s="529"/>
      <c r="AA37" s="1486"/>
    </row>
    <row r="38" spans="1:27" ht="15.75">
      <c r="A38" s="3"/>
      <c r="B38" s="615"/>
      <c r="C38" s="264"/>
      <c r="D38" s="615"/>
      <c r="E38" s="264"/>
      <c r="F38" s="264"/>
      <c r="G38" s="264"/>
      <c r="H38" s="264"/>
      <c r="I38" s="264"/>
      <c r="J38" s="990"/>
      <c r="K38" s="264"/>
      <c r="L38" s="264"/>
      <c r="M38" s="264"/>
      <c r="N38" s="615"/>
      <c r="O38" s="264"/>
      <c r="P38" s="990"/>
      <c r="Q38" s="264"/>
      <c r="R38" s="264"/>
      <c r="S38" s="264"/>
      <c r="T38" s="264"/>
      <c r="U38" s="264"/>
      <c r="V38" s="525"/>
      <c r="W38" s="364"/>
      <c r="X38" s="291"/>
      <c r="Y38" s="354"/>
      <c r="Z38" s="291"/>
      <c r="AA38" s="1486"/>
    </row>
    <row r="39" spans="1:27" ht="15.75" customHeight="1">
      <c r="A39" s="3" t="s">
        <v>143</v>
      </c>
      <c r="B39" s="264"/>
      <c r="C39" s="264"/>
      <c r="D39" s="264"/>
      <c r="E39" s="264"/>
      <c r="F39" s="264"/>
      <c r="G39" s="264"/>
      <c r="H39" s="264"/>
      <c r="I39" s="264"/>
      <c r="J39" s="990"/>
      <c r="K39" s="264"/>
      <c r="L39" s="264"/>
      <c r="M39" s="264"/>
      <c r="N39" s="264"/>
      <c r="O39" s="264"/>
      <c r="P39" s="990"/>
      <c r="Q39" s="264"/>
      <c r="R39" s="264"/>
      <c r="S39" s="264"/>
      <c r="T39" s="264"/>
      <c r="U39" s="264"/>
      <c r="V39" s="525"/>
      <c r="W39" s="364"/>
      <c r="X39" s="291"/>
      <c r="Y39" s="354"/>
      <c r="Z39" s="291"/>
      <c r="AA39" s="1486"/>
    </row>
    <row r="40" spans="1:27" ht="15.75" customHeight="1">
      <c r="A40" s="3" t="s">
        <v>213</v>
      </c>
      <c r="B40" s="264"/>
      <c r="C40" s="264"/>
      <c r="D40" s="264"/>
      <c r="E40" s="264"/>
      <c r="F40" s="264"/>
      <c r="G40" s="264"/>
      <c r="H40" s="264"/>
      <c r="I40" s="264"/>
      <c r="J40" s="990"/>
      <c r="K40" s="264"/>
      <c r="L40" s="264"/>
      <c r="M40" s="264"/>
      <c r="N40" s="264"/>
      <c r="O40" s="264"/>
      <c r="P40" s="990"/>
      <c r="Q40" s="264"/>
      <c r="R40" s="264"/>
      <c r="S40" s="264"/>
      <c r="T40" s="264"/>
      <c r="U40" s="264"/>
      <c r="V40" s="525"/>
      <c r="W40" s="364"/>
      <c r="X40" s="291"/>
      <c r="Y40" s="354"/>
      <c r="Z40" s="291"/>
      <c r="AA40" s="1486"/>
    </row>
    <row r="41" spans="1:27" ht="15.75" customHeight="1">
      <c r="A41" s="3" t="s">
        <v>214</v>
      </c>
      <c r="B41" s="264"/>
      <c r="C41" s="264"/>
      <c r="D41" s="264"/>
      <c r="E41" s="264"/>
      <c r="F41" s="264"/>
      <c r="G41" s="264"/>
      <c r="H41" s="264"/>
      <c r="I41" s="264"/>
      <c r="J41" s="990"/>
      <c r="K41" s="264"/>
      <c r="L41" s="264"/>
      <c r="M41" s="264"/>
      <c r="N41" s="264"/>
      <c r="O41" s="264"/>
      <c r="P41" s="990"/>
      <c r="Q41" s="264"/>
      <c r="R41" s="264"/>
      <c r="S41" s="264"/>
      <c r="T41" s="264"/>
      <c r="U41" s="264"/>
      <c r="V41" s="525"/>
      <c r="W41" s="364"/>
      <c r="X41" s="291"/>
      <c r="Y41" s="354"/>
      <c r="Z41" s="291"/>
      <c r="AA41" s="1486"/>
    </row>
    <row r="42" spans="1:27" ht="15.75" customHeight="1">
      <c r="A42" s="3" t="s">
        <v>215</v>
      </c>
      <c r="B42" s="19">
        <f>ROUND(SUM(B32,B37),1)</f>
        <v>60.6</v>
      </c>
      <c r="C42" s="13"/>
      <c r="D42" s="19">
        <f>ROUND(SUM(D32,D37),1)</f>
        <v>54</v>
      </c>
      <c r="E42" s="13"/>
      <c r="F42" s="19">
        <f>ROUND(SUM(F32,F37),1)</f>
        <v>9.9</v>
      </c>
      <c r="G42" s="13"/>
      <c r="H42" s="19">
        <f>ROUND(SUM(H32,H37),1)</f>
        <v>-48.4</v>
      </c>
      <c r="I42" s="19"/>
      <c r="J42" s="1502"/>
      <c r="K42" s="13"/>
      <c r="L42" s="19">
        <f>ROUND(SUM(L32,L37),1)</f>
        <v>70.5</v>
      </c>
      <c r="M42" s="13"/>
      <c r="N42" s="19">
        <f>ROUND(SUM(N32,N37),1)</f>
        <v>5.6</v>
      </c>
      <c r="O42" s="19"/>
      <c r="P42" s="1502"/>
      <c r="Q42" s="13"/>
      <c r="R42" s="19">
        <f>ROUND(SUM(R32,R37),1)</f>
        <v>69.3</v>
      </c>
      <c r="S42" s="13"/>
      <c r="T42" s="19">
        <f>ROUND(SUM(T32,T37),1)</f>
        <v>-160.5</v>
      </c>
      <c r="U42" s="19"/>
      <c r="V42" s="397"/>
      <c r="W42" s="19">
        <f>ROUND(SUM(W32,W37),1)</f>
        <v>166.1</v>
      </c>
      <c r="X42" s="3"/>
      <c r="Y42" s="1807">
        <f>ROUND(IF(T42=0,0,W42/ABS(T42)),3)</f>
        <v>1.0349999999999999</v>
      </c>
      <c r="Z42" s="291"/>
      <c r="AA42" s="1486"/>
    </row>
    <row r="43" spans="1:27" ht="15.75">
      <c r="A43" s="3"/>
      <c r="B43" s="264"/>
      <c r="C43" s="264"/>
      <c r="D43" s="264"/>
      <c r="E43" s="264"/>
      <c r="F43" s="264"/>
      <c r="G43" s="264"/>
      <c r="H43" s="264"/>
      <c r="I43" s="264"/>
      <c r="J43" s="990"/>
      <c r="K43" s="264"/>
      <c r="L43" s="264"/>
      <c r="M43" s="264"/>
      <c r="N43" s="264"/>
      <c r="O43" s="264"/>
      <c r="P43" s="990"/>
      <c r="Q43" s="264"/>
      <c r="R43" s="264"/>
      <c r="S43" s="264"/>
      <c r="T43" s="264"/>
      <c r="U43" s="264"/>
      <c r="V43" s="525"/>
      <c r="W43" s="364"/>
      <c r="X43" s="291"/>
      <c r="Y43" s="364"/>
      <c r="Z43" s="291"/>
      <c r="AA43" s="1486"/>
    </row>
    <row r="44" spans="1:27" s="15" customFormat="1" ht="15.75">
      <c r="A44" s="3" t="s">
        <v>216</v>
      </c>
      <c r="B44" s="13">
        <f>+'Exhibit J'!G14</f>
        <v>1273.3</v>
      </c>
      <c r="C44" s="13"/>
      <c r="D44" s="13">
        <f>+'Exhibit J'!AB14</f>
        <v>1279.9000000000001</v>
      </c>
      <c r="E44" s="13"/>
      <c r="F44" s="1934">
        <f>+'Exhibit K'!F14</f>
        <v>49.9</v>
      </c>
      <c r="G44" s="13"/>
      <c r="H44" s="13">
        <f>+'Exhibit K'!AA14</f>
        <v>108.2</v>
      </c>
      <c r="I44" s="13"/>
      <c r="J44" s="1499"/>
      <c r="K44" s="13"/>
      <c r="L44" s="13">
        <f>ROUND(SUM(B44)+SUM(F44),1)</f>
        <v>1323.2</v>
      </c>
      <c r="M44" s="13"/>
      <c r="N44" s="13">
        <f>ROUND(SUM(D44)+SUM(H44),1)</f>
        <v>1388.1</v>
      </c>
      <c r="O44" s="13"/>
      <c r="P44" s="1499"/>
      <c r="Q44" s="13"/>
      <c r="R44" s="984">
        <v>848.5</v>
      </c>
      <c r="S44" s="13"/>
      <c r="T44" s="357">
        <f>'Exhibit J'!AE14+'Exhibit K'!AD14</f>
        <v>1078.3</v>
      </c>
      <c r="U44" s="13"/>
      <c r="V44" s="98"/>
      <c r="W44" s="13">
        <f>ROUND(SUM(N44-T44),1)</f>
        <v>309.8</v>
      </c>
      <c r="X44" s="3"/>
      <c r="Y44" s="1808">
        <f>ROUND(SUM(W44/T44),3)</f>
        <v>0.28699999999999998</v>
      </c>
      <c r="Z44" s="3"/>
      <c r="AA44" s="1487"/>
    </row>
    <row r="45" spans="1:27" ht="16.5" thickBot="1">
      <c r="A45" s="3" t="s">
        <v>217</v>
      </c>
      <c r="B45" s="994">
        <f>ROUND(SUM(B42+B44),1)</f>
        <v>1333.9</v>
      </c>
      <c r="C45" s="20"/>
      <c r="D45" s="994">
        <f>ROUND(SUM(D42+D44),1)</f>
        <v>1333.9</v>
      </c>
      <c r="E45" s="20"/>
      <c r="F45" s="994">
        <f>ROUND(SUM(F42+F44),1)</f>
        <v>59.8</v>
      </c>
      <c r="G45" s="20"/>
      <c r="H45" s="994">
        <f>ROUND(SUM(H42+H44),1)</f>
        <v>59.8</v>
      </c>
      <c r="I45" s="20"/>
      <c r="J45" s="340"/>
      <c r="K45" s="20"/>
      <c r="L45" s="994">
        <f>ROUND(SUM(L42+L44),1)</f>
        <v>1393.7</v>
      </c>
      <c r="M45" s="20"/>
      <c r="N45" s="1801">
        <f>ROUND(SUM(N42+N44),1)</f>
        <v>1393.7</v>
      </c>
      <c r="O45" s="20"/>
      <c r="P45" s="340"/>
      <c r="Q45" s="20"/>
      <c r="R45" s="674">
        <f>ROUND(SUM(R42+R44),1)</f>
        <v>917.8</v>
      </c>
      <c r="S45" s="20"/>
      <c r="T45" s="674">
        <f>ROUND(SUM(T42+T44),1)</f>
        <v>917.8</v>
      </c>
      <c r="U45" s="20"/>
      <c r="V45" s="94"/>
      <c r="W45" s="674">
        <f>ROUND(SUM(W42+W44),1)</f>
        <v>475.9</v>
      </c>
      <c r="X45" s="379"/>
      <c r="Y45" s="995">
        <f>ROUND(SUM(W45/ABS(T45)),3)</f>
        <v>0.51900000000000002</v>
      </c>
      <c r="Z45" s="379"/>
      <c r="AA45" s="1486"/>
    </row>
    <row r="46" spans="1:27" ht="4.3499999999999996" customHeight="1" thickTop="1">
      <c r="A46" s="291"/>
      <c r="B46" s="410"/>
      <c r="C46" s="379"/>
      <c r="D46" s="410"/>
      <c r="E46" s="379"/>
      <c r="F46" s="410"/>
      <c r="G46" s="379"/>
      <c r="H46" s="410"/>
      <c r="I46" s="379"/>
      <c r="J46" s="379"/>
      <c r="K46" s="379"/>
      <c r="L46" s="410"/>
      <c r="M46" s="379"/>
      <c r="N46" s="410"/>
      <c r="O46" s="379"/>
      <c r="P46" s="379"/>
      <c r="Q46" s="379"/>
      <c r="R46" s="379"/>
      <c r="S46" s="379"/>
      <c r="T46" s="379"/>
      <c r="U46" s="379"/>
      <c r="V46" s="379"/>
      <c r="W46" s="379"/>
      <c r="X46" s="404"/>
      <c r="Y46" s="404"/>
      <c r="Z46" s="22"/>
    </row>
    <row r="47" spans="1:27">
      <c r="A47" s="291"/>
      <c r="B47" s="7" t="s">
        <v>103</v>
      </c>
      <c r="C47" s="7"/>
      <c r="D47" s="7"/>
      <c r="E47" s="7"/>
      <c r="F47" s="23"/>
      <c r="G47" s="7"/>
      <c r="H47" s="7"/>
      <c r="I47" s="7"/>
      <c r="J47" s="7"/>
      <c r="K47" s="7"/>
      <c r="L47" s="7"/>
      <c r="M47" s="7"/>
      <c r="N47" s="7"/>
      <c r="O47" s="7"/>
      <c r="P47" s="7"/>
      <c r="Q47" s="7"/>
      <c r="R47" s="1802"/>
      <c r="S47" s="7"/>
      <c r="T47" s="7"/>
      <c r="U47" s="7"/>
      <c r="V47" s="7"/>
      <c r="W47" s="7"/>
      <c r="X47" s="9"/>
      <c r="Y47" s="9"/>
      <c r="Z47" s="9"/>
    </row>
    <row r="48" spans="1:27" s="24" customFormat="1" ht="16.5" customHeight="1">
      <c r="A48" s="412"/>
      <c r="B48" s="24" t="s">
        <v>103</v>
      </c>
    </row>
    <row r="49" spans="1:25">
      <c r="A49" s="291"/>
      <c r="B49" s="11" t="s">
        <v>103</v>
      </c>
      <c r="C49" s="7"/>
      <c r="D49" s="7"/>
      <c r="E49" s="7"/>
      <c r="F49" s="7"/>
      <c r="G49" s="7"/>
      <c r="H49" s="7"/>
      <c r="I49" s="7"/>
      <c r="J49" s="7"/>
      <c r="K49" s="7"/>
      <c r="L49" s="7"/>
      <c r="M49" s="7"/>
      <c r="N49" s="7"/>
      <c r="O49" s="7"/>
      <c r="P49" s="7"/>
      <c r="Q49" s="7"/>
      <c r="R49" s="1802"/>
      <c r="S49" s="7"/>
      <c r="T49" s="1802"/>
      <c r="U49" s="7"/>
      <c r="V49" s="7"/>
      <c r="W49" s="7"/>
      <c r="X49" s="7"/>
      <c r="Y49" s="7"/>
    </row>
    <row r="50" spans="1:25">
      <c r="A50" s="29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1"/>
      <c r="B52" s="7"/>
      <c r="C52" s="7"/>
      <c r="D52" s="7"/>
      <c r="E52" s="7"/>
      <c r="F52" s="7"/>
      <c r="G52" s="7"/>
      <c r="H52" s="7"/>
      <c r="I52" s="7"/>
      <c r="J52" s="7"/>
      <c r="K52" s="7"/>
      <c r="L52" s="7"/>
      <c r="M52" s="7"/>
      <c r="N52" s="7"/>
      <c r="O52" s="7"/>
      <c r="P52" s="7"/>
      <c r="Q52" s="7"/>
      <c r="R52" s="7"/>
      <c r="S52" s="7"/>
      <c r="T52" s="7"/>
      <c r="U52" s="7"/>
      <c r="V52" s="7"/>
      <c r="W52" s="7"/>
      <c r="X52" s="7"/>
      <c r="Y52" s="7"/>
    </row>
    <row r="53" spans="1:25">
      <c r="A53" s="364"/>
    </row>
    <row r="54" spans="1:25">
      <c r="A54" s="364"/>
    </row>
    <row r="55" spans="1:25">
      <c r="A55" s="364"/>
    </row>
    <row r="56" spans="1:25">
      <c r="A56" s="364"/>
    </row>
    <row r="57" spans="1:25">
      <c r="A57" s="364"/>
    </row>
  </sheetData>
  <customSheetViews>
    <customSheetView guid="{83D69B98-1714-4D17-901F-87B47BE66947}" scale="90" showGridLines="0" fitToPage="1" printArea="1" topLeftCell="A12">
      <selection activeCell="Y32" sqref="Y32"/>
      <pageMargins left="0.25" right="0.25" top="0.5" bottom="0.36" header="0" footer="0.25"/>
      <printOptions horizontalCentered="1"/>
      <pageSetup firstPageNumber="5" orientation="landscape" useFirstPageNumber="1" r:id="rId1"/>
      <headerFooter scaleWithDoc="0" alignWithMargins="0">
        <oddFooter>&amp;C&amp;8&amp;P</oddFooter>
      </headerFooter>
    </customSheetView>
    <customSheetView guid="{F9AE1502-86F7-4AAA-AE66-F6A75A634C1B}" scale="90" showGridLines="0" fitToPage="1" printArea="1">
      <selection activeCell="R46" sqref="R46"/>
      <pageMargins left="0.25" right="0.25" top="0.5" bottom="0.36" header="0" footer="0.25"/>
      <printOptions horizontalCentered="1"/>
      <pageSetup firstPageNumber="5" orientation="landscape" useFirstPageNumber="1" r:id="rId2"/>
      <headerFooter scaleWithDoc="0" alignWithMargins="0">
        <oddFooter>&amp;C&amp;8&amp;P</oddFooter>
      </headerFooter>
    </customSheetView>
    <customSheetView guid="{C41E3923-0A88-49D0-AE43-0E74D386A056}" scale="90" showGridLines="0" fitToPage="1" printArea="1">
      <selection activeCell="R46" sqref="R46"/>
      <pageMargins left="0.25" right="0.25" top="0.5" bottom="0.36" header="0" footer="0.25"/>
      <printOptions horizontalCentered="1"/>
      <pageSetup firstPageNumber="5" orientation="landscape" useFirstPageNumber="1" r:id="rId3"/>
      <headerFooter scaleWithDoc="0" alignWithMargins="0">
        <oddFooter>&amp;C&amp;8&amp;P</oddFooter>
      </headerFooter>
    </customSheetView>
    <customSheetView guid="{1DF171D7-3BFC-49F6-B708-0F91FCFAB6E2}" scale="90" showGridLines="0" fitToPage="1" printArea="1">
      <selection activeCell="R46" sqref="R46"/>
      <pageMargins left="0.25" right="0.25" top="0.5" bottom="0.36" header="0" footer="0.25"/>
      <printOptions horizontalCentered="1"/>
      <pageSetup firstPageNumber="5" orientation="landscape" useFirstPageNumber="1" r:id="rId4"/>
      <headerFooter scaleWithDoc="0" alignWithMargins="0">
        <oddFooter>&amp;C&amp;8&amp;P</oddFooter>
      </headerFooter>
    </customSheetView>
    <customSheetView guid="{9F00D83C-7F4F-41B5-9976-8610D9EBC976}" scale="90" showGridLines="0" fitToPage="1" printArea="1" topLeftCell="A15">
      <selection activeCell="R46" sqref="R46"/>
      <pageMargins left="0.25" right="0.25" top="0.5" bottom="0.36" header="0" footer="0.25"/>
      <printOptions horizontalCentered="1"/>
      <pageSetup scale="54" firstPageNumber="5" orientation="landscape" useFirstPageNumber="1" r:id="rId5"/>
      <headerFooter scaleWithDoc="0" alignWithMargins="0">
        <oddFooter>&amp;C&amp;8&amp;P</oddFooter>
      </headerFooter>
    </customSheetView>
    <customSheetView guid="{D1467C25-646C-4F1A-9353-0E890E575522}" scale="90" showGridLines="0" fitToPage="1" printArea="1" topLeftCell="A14">
      <selection activeCell="R46" sqref="R46"/>
      <pageMargins left="0.25" right="0.25" top="0.5" bottom="0.36" header="0" footer="0.25"/>
      <printOptions horizontalCentered="1"/>
      <pageSetup firstPageNumber="5" orientation="landscape" useFirstPageNumber="1" r:id="rId6"/>
      <headerFooter scaleWithDoc="0" alignWithMargins="0">
        <oddFooter>&amp;C&amp;8&amp;P</oddFooter>
      </headerFooter>
    </customSheetView>
    <customSheetView guid="{3A50DD26-AAF5-43D4-97DE-BAE3367A2F29}" scale="90" showGridLines="0" fitToPage="1" printArea="1">
      <selection activeCell="R46" sqref="R46"/>
      <pageMargins left="0.25" right="0.25" top="0.5" bottom="0.36" header="0" footer="0.25"/>
      <printOptions horizontalCentered="1"/>
      <pageSetup firstPageNumber="5" orientation="landscape" useFirstPageNumber="1" r:id="rId7"/>
      <headerFooter scaleWithDoc="0" alignWithMargins="0">
        <oddFooter>&amp;C&amp;8&amp;P</oddFooter>
      </headerFooter>
    </customSheetView>
    <customSheetView guid="{C3636880-B45B-4897-94F2-F91976416934}" scale="90" showGridLines="0" fitToPage="1" printArea="1">
      <selection activeCell="R46" sqref="R46"/>
      <pageMargins left="0.25" right="0.25" top="0.5" bottom="0.36" header="0" footer="0.25"/>
      <printOptions horizontalCentered="1"/>
      <pageSetup firstPageNumber="5" orientation="landscape" useFirstPageNumber="1" r:id="rId8"/>
      <headerFooter scaleWithDoc="0" alignWithMargins="0">
        <oddFooter>&amp;C&amp;8&amp;P</oddFooter>
      </headerFooter>
    </customSheetView>
  </customSheetViews>
  <mergeCells count="2">
    <mergeCell ref="S3:T3"/>
    <mergeCell ref="Y3:Z3"/>
  </mergeCells>
  <printOptions horizontalCentered="1"/>
  <pageMargins left="0.25" right="0.25" top="0.5" bottom="0.36" header="0" footer="0.25"/>
  <pageSetup scale="55" firstPageNumber="5" orientation="landscape" useFirstPageNumber="1" r:id="rId9"/>
  <headerFooter scaleWithDoc="0" alignWithMargins="0">
    <oddFooter>&amp;C&amp;8&amp;P</oddFooter>
  </headerFooter>
  <customProperties>
    <customPr name="SheetOptions" r:id="rId10"/>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88671875" defaultRowHeight="15"/>
  <cols>
    <col min="1" max="1" width="38.109375" style="364" customWidth="1"/>
    <col min="2" max="2" width="13.88671875" style="364" customWidth="1"/>
    <col min="3" max="3" width="1.109375" style="364" customWidth="1"/>
    <col min="4" max="4" width="13.88671875" style="364" customWidth="1"/>
    <col min="5" max="5" width="1.88671875" style="364" customWidth="1"/>
    <col min="6" max="6" width="13.88671875" style="364" customWidth="1"/>
    <col min="7" max="7" width="1.109375" style="364" customWidth="1"/>
    <col min="8" max="8" width="13.88671875" style="364" customWidth="1"/>
    <col min="9" max="11" width="1.109375" style="364" customWidth="1"/>
    <col min="12" max="12" width="13.88671875" style="364" customWidth="1"/>
    <col min="13" max="13" width="1.88671875" style="364" customWidth="1"/>
    <col min="14" max="14" width="13.88671875" style="364" customWidth="1"/>
    <col min="15" max="17" width="1.109375" style="364" customWidth="1"/>
    <col min="18" max="18" width="13.88671875" style="364" customWidth="1"/>
    <col min="19" max="19" width="1.109375" style="364" customWidth="1"/>
    <col min="20" max="20" width="13.88671875" style="364" customWidth="1"/>
    <col min="21" max="22" width="1.109375" style="364" customWidth="1"/>
    <col min="23" max="23" width="13.88671875" style="364" customWidth="1"/>
    <col min="24" max="24" width="1.109375" style="364" customWidth="1"/>
    <col min="25" max="25" width="13.88671875" style="364" customWidth="1"/>
    <col min="26" max="26" width="9.109375" style="1492" bestFit="1" customWidth="1"/>
    <col min="27" max="27" width="8.88671875" style="1117"/>
    <col min="28" max="16384" width="8.88671875" style="364"/>
  </cols>
  <sheetData>
    <row r="1" spans="1:27">
      <c r="A1" s="265" t="s">
        <v>97</v>
      </c>
    </row>
    <row r="2" spans="1:27">
      <c r="A2" s="354"/>
    </row>
    <row r="3" spans="1:27" s="291" customFormat="1" ht="18" customHeight="1">
      <c r="A3" s="3" t="s">
        <v>98</v>
      </c>
      <c r="B3" s="3"/>
      <c r="C3" s="3"/>
      <c r="D3" s="3"/>
      <c r="E3" s="3"/>
      <c r="F3" s="364"/>
      <c r="G3" s="364"/>
      <c r="H3" s="3"/>
      <c r="I3" s="3"/>
      <c r="J3" s="3"/>
      <c r="K3" s="3"/>
      <c r="L3" s="3"/>
      <c r="M3" s="3"/>
      <c r="N3" s="3"/>
      <c r="O3" s="3"/>
      <c r="P3" s="3"/>
      <c r="Q3" s="3"/>
      <c r="R3" s="889"/>
      <c r="V3" s="354"/>
      <c r="W3" s="354"/>
      <c r="X3" s="354"/>
      <c r="Y3" s="1215" t="s">
        <v>218</v>
      </c>
      <c r="Z3" s="1489"/>
      <c r="AA3" s="1488"/>
    </row>
    <row r="4" spans="1:27" s="291" customFormat="1" ht="15.75" customHeight="1">
      <c r="A4" s="3" t="s">
        <v>219</v>
      </c>
      <c r="B4" s="3"/>
      <c r="C4" s="3"/>
      <c r="D4" s="3"/>
      <c r="E4" s="3"/>
      <c r="F4" s="364"/>
      <c r="G4" s="364"/>
      <c r="H4" s="3"/>
      <c r="I4" s="3"/>
      <c r="J4" s="3"/>
      <c r="K4" s="3"/>
      <c r="L4" s="3"/>
      <c r="M4" s="3"/>
      <c r="N4" s="3"/>
      <c r="O4" s="3"/>
      <c r="P4" s="3"/>
      <c r="Q4" s="3"/>
      <c r="R4" s="3"/>
      <c r="S4" s="3"/>
      <c r="T4" s="3"/>
      <c r="V4" s="354"/>
      <c r="W4" s="354"/>
      <c r="X4" s="354"/>
      <c r="Y4" s="354"/>
      <c r="Z4" s="1489"/>
      <c r="AA4" s="1488"/>
    </row>
    <row r="5" spans="1:27" s="291" customFormat="1" ht="15.75" customHeight="1">
      <c r="A5" s="1216" t="s">
        <v>101</v>
      </c>
      <c r="B5" s="3"/>
      <c r="C5" s="3"/>
      <c r="D5" s="3"/>
      <c r="E5" s="3"/>
      <c r="F5" s="364"/>
      <c r="G5" s="364"/>
      <c r="H5" s="3"/>
      <c r="I5" s="3"/>
      <c r="J5" s="3"/>
      <c r="K5" s="3"/>
      <c r="L5" s="3"/>
      <c r="M5" s="3"/>
      <c r="N5" s="3"/>
      <c r="O5" s="3"/>
      <c r="P5" s="3"/>
      <c r="Q5" s="3"/>
      <c r="R5" s="3"/>
      <c r="S5" s="3"/>
      <c r="T5" s="3" t="s">
        <v>103</v>
      </c>
      <c r="V5" s="354"/>
      <c r="W5" s="354"/>
      <c r="X5" s="354"/>
      <c r="Y5" s="354"/>
      <c r="Z5" s="1489"/>
      <c r="AA5" s="1488"/>
    </row>
    <row r="6" spans="1:27" s="291" customFormat="1" ht="15.75" customHeight="1">
      <c r="A6" s="3" t="s">
        <v>102</v>
      </c>
      <c r="B6" s="3"/>
      <c r="C6" s="3"/>
      <c r="D6" s="3"/>
      <c r="E6" s="3"/>
      <c r="F6" s="364"/>
      <c r="G6" s="364"/>
      <c r="H6" s="3"/>
      <c r="I6" s="3"/>
      <c r="J6" s="3"/>
      <c r="K6" s="3"/>
      <c r="L6" s="3"/>
      <c r="M6" s="3"/>
      <c r="N6" s="3"/>
      <c r="O6" s="3"/>
      <c r="P6" s="3"/>
      <c r="Q6" s="3"/>
      <c r="R6" s="3"/>
      <c r="S6" s="3"/>
      <c r="T6" s="3"/>
      <c r="V6" s="354"/>
      <c r="W6" s="354"/>
      <c r="X6" s="354"/>
      <c r="Y6" s="354"/>
      <c r="Z6" s="1489"/>
      <c r="AA6" s="1488"/>
    </row>
    <row r="7" spans="1:27" s="291" customFormat="1" ht="15.75">
      <c r="A7" s="6"/>
      <c r="B7" s="3"/>
      <c r="C7" s="3"/>
      <c r="D7" s="3"/>
      <c r="E7" s="3"/>
      <c r="F7" s="364"/>
      <c r="G7" s="364"/>
      <c r="H7" s="3"/>
      <c r="I7" s="3"/>
      <c r="J7" s="3"/>
      <c r="K7" s="3"/>
      <c r="L7" s="3"/>
      <c r="M7" s="3"/>
      <c r="N7" s="3"/>
      <c r="O7" s="3"/>
      <c r="P7" s="3"/>
      <c r="Q7" s="3"/>
      <c r="R7" s="3"/>
      <c r="S7" s="3"/>
      <c r="T7" s="3"/>
      <c r="V7" s="354"/>
      <c r="W7" s="354"/>
      <c r="X7" s="354"/>
      <c r="Y7" s="354"/>
      <c r="Z7" s="1489"/>
      <c r="AA7" s="1488"/>
    </row>
    <row r="8" spans="1:27" s="291" customFormat="1" ht="15.75">
      <c r="B8" s="3"/>
      <c r="C8" s="3"/>
      <c r="D8" s="3"/>
      <c r="E8" s="3"/>
      <c r="F8" s="364"/>
      <c r="G8" s="364"/>
      <c r="H8" s="3"/>
      <c r="I8" s="3"/>
      <c r="J8" s="3"/>
      <c r="K8" s="3"/>
      <c r="L8" s="3"/>
      <c r="M8" s="3"/>
      <c r="N8" s="3"/>
      <c r="O8" s="3"/>
      <c r="P8" s="3"/>
      <c r="Q8" s="3"/>
      <c r="R8" s="3"/>
      <c r="S8" s="3"/>
      <c r="T8" s="3"/>
      <c r="V8" s="354"/>
      <c r="W8" s="354"/>
      <c r="X8" s="354"/>
      <c r="Y8" s="354"/>
      <c r="Z8" s="1489"/>
      <c r="AA8" s="1488"/>
    </row>
    <row r="9" spans="1:27" s="291" customFormat="1" ht="8.1" customHeight="1">
      <c r="B9" s="3"/>
      <c r="C9" s="3"/>
      <c r="D9" s="3"/>
      <c r="E9" s="3"/>
      <c r="F9" s="3"/>
      <c r="G9" s="364"/>
      <c r="H9" s="3"/>
      <c r="I9" s="3"/>
      <c r="J9" s="3"/>
      <c r="K9" s="3"/>
      <c r="L9" s="3"/>
      <c r="M9" s="3"/>
      <c r="N9" s="3"/>
      <c r="O9" s="3"/>
      <c r="P9" s="3"/>
      <c r="Q9" s="3"/>
      <c r="R9" s="3"/>
      <c r="S9" s="3"/>
      <c r="T9" s="3"/>
      <c r="X9" s="364"/>
      <c r="Y9" s="364"/>
      <c r="Z9" s="1492"/>
      <c r="AA9" s="1117"/>
    </row>
    <row r="10" spans="1:27" s="291" customFormat="1" ht="15.75">
      <c r="B10" s="3"/>
      <c r="C10" s="3"/>
      <c r="D10" s="3"/>
      <c r="E10" s="3"/>
      <c r="F10" s="3"/>
      <c r="G10" s="364"/>
      <c r="H10" s="3"/>
      <c r="I10" s="3"/>
      <c r="J10" s="3"/>
      <c r="K10" s="3"/>
      <c r="L10" s="3"/>
      <c r="M10" s="3"/>
      <c r="N10" s="3"/>
      <c r="O10" s="3"/>
      <c r="P10" s="3"/>
      <c r="Q10" s="3"/>
      <c r="R10" s="3"/>
      <c r="S10" s="3"/>
      <c r="T10" s="3"/>
      <c r="V10" s="354"/>
      <c r="W10" s="354"/>
      <c r="X10" s="354"/>
      <c r="Y10" s="354"/>
      <c r="Z10" s="1489"/>
      <c r="AA10" s="1488"/>
    </row>
    <row r="11" spans="1:27" s="291" customFormat="1" ht="15.75">
      <c r="B11" s="3"/>
      <c r="C11" s="3"/>
      <c r="D11" s="3"/>
      <c r="E11" s="3"/>
      <c r="F11" s="3"/>
      <c r="G11" s="364"/>
      <c r="H11" s="3"/>
      <c r="I11" s="3"/>
      <c r="J11" s="3"/>
      <c r="K11" s="3"/>
      <c r="M11" s="25"/>
      <c r="N11" s="365"/>
      <c r="O11" s="365"/>
      <c r="P11" s="365"/>
      <c r="Q11" s="365"/>
      <c r="R11" s="25"/>
      <c r="S11" s="25"/>
      <c r="T11" s="25"/>
      <c r="V11" s="354"/>
      <c r="W11" s="354"/>
      <c r="X11" s="354"/>
      <c r="Y11" s="354"/>
      <c r="Z11" s="1489"/>
      <c r="AA11" s="1488"/>
    </row>
    <row r="12" spans="1:27" ht="16.350000000000001" customHeight="1">
      <c r="A12" s="291"/>
      <c r="B12" s="25" t="s">
        <v>220</v>
      </c>
      <c r="C12" s="399"/>
      <c r="D12" s="25"/>
      <c r="E12" s="3"/>
      <c r="F12" s="25" t="s">
        <v>221</v>
      </c>
      <c r="G12" s="399"/>
      <c r="H12" s="25"/>
      <c r="I12" s="25"/>
      <c r="J12" s="25"/>
      <c r="K12" s="3"/>
      <c r="L12" s="25" t="s">
        <v>222</v>
      </c>
      <c r="M12" s="25"/>
      <c r="N12" s="365"/>
      <c r="O12" s="365"/>
      <c r="P12" s="365"/>
      <c r="Q12" s="25"/>
      <c r="R12" s="25"/>
      <c r="S12" s="25"/>
      <c r="T12" s="25"/>
      <c r="U12" s="291"/>
      <c r="V12" s="400"/>
      <c r="W12" s="2061" t="s">
        <v>204</v>
      </c>
      <c r="X12" s="2061"/>
      <c r="Y12" s="2061"/>
      <c r="Z12" s="1489"/>
      <c r="AA12" s="1488"/>
    </row>
    <row r="13" spans="1:27" ht="13.35" customHeight="1">
      <c r="A13" s="291"/>
      <c r="B13" s="987"/>
      <c r="C13" s="987"/>
      <c r="D13" s="987"/>
      <c r="E13" s="291"/>
      <c r="F13" s="987"/>
      <c r="G13" s="988"/>
      <c r="H13" s="987"/>
      <c r="I13" s="291"/>
      <c r="J13" s="291"/>
      <c r="K13" s="291"/>
      <c r="L13" s="987"/>
      <c r="M13" s="987"/>
      <c r="N13" s="987"/>
      <c r="O13" s="987"/>
      <c r="P13" s="987"/>
      <c r="Q13" s="987"/>
      <c r="R13" s="987"/>
      <c r="S13" s="987"/>
      <c r="T13" s="987"/>
      <c r="U13" s="291"/>
      <c r="V13" s="401"/>
      <c r="W13" s="291"/>
      <c r="X13" s="354"/>
      <c r="Y13" s="354"/>
      <c r="Z13" s="1489"/>
      <c r="AA13" s="1488"/>
    </row>
    <row r="14" spans="1:27" ht="16.350000000000001" customHeight="1">
      <c r="A14" s="291"/>
      <c r="B14" s="52" t="s">
        <v>109</v>
      </c>
      <c r="C14" s="3"/>
      <c r="D14" s="314" t="str">
        <f>'Exhibit A'!F11</f>
        <v>3 MOS. ENDED</v>
      </c>
      <c r="E14" s="3"/>
      <c r="F14" s="52" t="s">
        <v>109</v>
      </c>
      <c r="G14" s="57"/>
      <c r="H14" s="52" t="str">
        <f>D14</f>
        <v>3 MOS. ENDED</v>
      </c>
      <c r="I14" s="52"/>
      <c r="J14" s="52"/>
      <c r="K14" s="3"/>
      <c r="L14" s="52" t="s">
        <v>109</v>
      </c>
      <c r="M14" s="3"/>
      <c r="N14" s="52" t="str">
        <f>D14</f>
        <v>3 MOS. ENDED</v>
      </c>
      <c r="O14" s="52"/>
      <c r="P14" s="52"/>
      <c r="Q14" s="3"/>
      <c r="R14" s="52" t="s">
        <v>109</v>
      </c>
      <c r="S14" s="3"/>
      <c r="T14" s="52" t="str">
        <f>H14</f>
        <v>3 MOS. ENDED</v>
      </c>
      <c r="U14" s="291"/>
      <c r="V14" s="401"/>
      <c r="W14" s="319" t="s">
        <v>110</v>
      </c>
      <c r="X14" s="57"/>
      <c r="Y14" s="320" t="s">
        <v>111</v>
      </c>
      <c r="Z14" s="1489"/>
      <c r="AA14" s="1488"/>
    </row>
    <row r="15" spans="1:27" ht="16.350000000000001" customHeight="1">
      <c r="A15" s="291"/>
      <c r="B15" s="370" t="str">
        <f>'Exhibit A'!D12</f>
        <v>JUNE 2026</v>
      </c>
      <c r="C15" s="3"/>
      <c r="D15" s="370" t="str">
        <f>'Exhibit A'!F12</f>
        <v>JUNE 30, 2026</v>
      </c>
      <c r="E15" s="3"/>
      <c r="F15" s="315" t="str">
        <f>B15</f>
        <v>JUNE 2026</v>
      </c>
      <c r="G15" s="3"/>
      <c r="H15" s="316" t="str">
        <f>D15</f>
        <v>JUNE 30, 2026</v>
      </c>
      <c r="I15" s="316"/>
      <c r="J15" s="316"/>
      <c r="K15" s="3"/>
      <c r="L15" s="315" t="str">
        <f>F15</f>
        <v>JUNE 2026</v>
      </c>
      <c r="M15" s="3"/>
      <c r="N15" s="316" t="str">
        <f>'Exhibit A'!X12</f>
        <v>JUNE 30, 2026</v>
      </c>
      <c r="O15" s="316"/>
      <c r="P15" s="316"/>
      <c r="Q15" s="3"/>
      <c r="R15" s="1220" t="str">
        <f>'Exhibit A'!AB12</f>
        <v>JUNE 2025</v>
      </c>
      <c r="S15" s="3"/>
      <c r="T15" s="370" t="str">
        <f>'Exhibit A'!AD12</f>
        <v>JUNE 30, 2025</v>
      </c>
      <c r="U15" s="291"/>
      <c r="V15" s="401"/>
      <c r="W15" s="1219" t="s">
        <v>112</v>
      </c>
      <c r="X15" s="57"/>
      <c r="Y15" s="989" t="s">
        <v>113</v>
      </c>
      <c r="Z15" s="1489"/>
      <c r="AA15" s="1488"/>
    </row>
    <row r="16" spans="1:27" ht="13.35" customHeight="1">
      <c r="A16" s="291"/>
      <c r="B16" s="291"/>
      <c r="C16" s="291"/>
      <c r="D16" s="291" t="s">
        <v>103</v>
      </c>
      <c r="E16" s="291"/>
      <c r="F16" s="987"/>
      <c r="G16" s="291"/>
      <c r="H16" s="988" t="s">
        <v>103</v>
      </c>
      <c r="J16" s="1495"/>
      <c r="K16" s="291"/>
      <c r="L16" s="987"/>
      <c r="M16" s="291"/>
      <c r="N16" s="987"/>
      <c r="O16" s="291"/>
      <c r="P16" s="1496"/>
      <c r="Q16" s="291"/>
      <c r="R16" s="291"/>
      <c r="S16" s="291"/>
      <c r="T16" s="291"/>
      <c r="U16" s="291"/>
      <c r="V16" s="402"/>
      <c r="W16" s="354"/>
      <c r="X16" s="291"/>
      <c r="Y16" s="354"/>
      <c r="Z16" s="1489"/>
      <c r="AA16" s="1488"/>
    </row>
    <row r="17" spans="1:27" ht="16.350000000000001" customHeight="1">
      <c r="A17" s="3" t="s">
        <v>114</v>
      </c>
      <c r="B17" s="291"/>
      <c r="C17" s="291"/>
      <c r="D17" s="291"/>
      <c r="E17" s="291"/>
      <c r="F17" s="291"/>
      <c r="G17" s="291"/>
      <c r="H17" s="291"/>
      <c r="I17" s="291"/>
      <c r="J17" s="1496"/>
      <c r="K17" s="291"/>
      <c r="L17" s="291"/>
      <c r="M17" s="291"/>
      <c r="N17" s="291"/>
      <c r="O17" s="291"/>
      <c r="P17" s="1496"/>
      <c r="Q17" s="291"/>
      <c r="R17" s="291"/>
      <c r="S17" s="291"/>
      <c r="T17" s="291"/>
      <c r="U17" s="291"/>
      <c r="V17" s="402"/>
      <c r="W17" s="354"/>
      <c r="X17" s="291"/>
      <c r="Y17" s="354"/>
      <c r="Z17" s="1489"/>
      <c r="AA17" s="1488"/>
    </row>
    <row r="18" spans="1:27" ht="16.350000000000001" customHeight="1">
      <c r="A18" s="291" t="s">
        <v>119</v>
      </c>
      <c r="B18" s="387">
        <f>+'Exhibit L'!F17</f>
        <v>32.799999999999997</v>
      </c>
      <c r="C18" s="274"/>
      <c r="D18" s="276">
        <f>+'Exhibit L'!AA17</f>
        <v>67</v>
      </c>
      <c r="E18" s="274"/>
      <c r="F18" s="996">
        <f>'Exhibit M'!F17</f>
        <v>0.3</v>
      </c>
      <c r="G18" s="274"/>
      <c r="H18" s="276">
        <f>+'Exhibit M'!AA17</f>
        <v>0.6</v>
      </c>
      <c r="I18" s="276"/>
      <c r="J18" s="1504"/>
      <c r="K18" s="274"/>
      <c r="L18" s="276">
        <f>SUM(B18)+SUM(F18)</f>
        <v>33.099999999999994</v>
      </c>
      <c r="M18" s="274"/>
      <c r="N18" s="276">
        <f>D18+SUM(H18)</f>
        <v>67.599999999999994</v>
      </c>
      <c r="O18" s="276"/>
      <c r="P18" s="1504"/>
      <c r="Q18" s="274"/>
      <c r="R18" s="276">
        <v>33.4</v>
      </c>
      <c r="S18" s="274"/>
      <c r="T18" s="276">
        <f>'Exhibit L'!AD17+'Exhibit M'!AD17</f>
        <v>65</v>
      </c>
      <c r="U18" s="379"/>
      <c r="V18" s="403"/>
      <c r="W18" s="424">
        <f>ROUND(SUM(N18-T18),1)</f>
        <v>2.6</v>
      </c>
      <c r="X18" s="379"/>
      <c r="Y18" s="520">
        <f>ROUND(IF(W18=0,0,W18/ABS(T18)),3)</f>
        <v>0.04</v>
      </c>
      <c r="Z18" s="1489"/>
      <c r="AA18" s="1489"/>
    </row>
    <row r="19" spans="1:27" ht="15.75">
      <c r="A19" s="3" t="s">
        <v>121</v>
      </c>
      <c r="B19" s="997">
        <f>ROUND(SUM(B18),1)</f>
        <v>32.799999999999997</v>
      </c>
      <c r="C19" s="13"/>
      <c r="D19" s="997">
        <f>ROUND(SUM(D18),1)</f>
        <v>67</v>
      </c>
      <c r="E19" s="13"/>
      <c r="F19" s="357">
        <f>ROUND(SUM(F18),1)</f>
        <v>0.3</v>
      </c>
      <c r="G19" s="13"/>
      <c r="H19" s="997">
        <f>ROUND(SUM(H18),1)</f>
        <v>0.6</v>
      </c>
      <c r="I19" s="18"/>
      <c r="J19" s="1505"/>
      <c r="K19" s="13"/>
      <c r="L19" s="997">
        <f>ROUND(SUM(L18),1)</f>
        <v>33.1</v>
      </c>
      <c r="M19" s="13"/>
      <c r="N19" s="997">
        <f>ROUND(SUM(N18),1)</f>
        <v>67.599999999999994</v>
      </c>
      <c r="O19" s="18"/>
      <c r="P19" s="1505"/>
      <c r="Q19" s="13"/>
      <c r="R19" s="997">
        <f>ROUND(SUM(R18),1)</f>
        <v>33.4</v>
      </c>
      <c r="S19" s="13"/>
      <c r="T19" s="997">
        <f>ROUND(SUM(T18),1)</f>
        <v>65</v>
      </c>
      <c r="U19" s="57"/>
      <c r="V19" s="406"/>
      <c r="W19" s="998">
        <f>ROUND(SUM(W18),3)</f>
        <v>2.6</v>
      </c>
      <c r="X19" s="268"/>
      <c r="Y19" s="999">
        <f>ROUND(+W19/T19,3)</f>
        <v>0.04</v>
      </c>
      <c r="Z19" s="1489"/>
      <c r="AA19" s="1490"/>
    </row>
    <row r="20" spans="1:27" ht="15.75">
      <c r="A20" s="3"/>
      <c r="B20" s="264"/>
      <c r="C20" s="264"/>
      <c r="D20" s="264"/>
      <c r="E20" s="264"/>
      <c r="F20" s="264"/>
      <c r="G20" s="264"/>
      <c r="H20" s="1036"/>
      <c r="I20" s="264"/>
      <c r="J20" s="990"/>
      <c r="K20" s="264"/>
      <c r="L20" s="264"/>
      <c r="M20" s="264"/>
      <c r="N20" s="264"/>
      <c r="O20" s="264"/>
      <c r="P20" s="990"/>
      <c r="Q20" s="264"/>
      <c r="R20" s="264"/>
      <c r="S20" s="264"/>
      <c r="T20" s="264"/>
      <c r="V20" s="402"/>
      <c r="W20" s="411"/>
      <c r="X20" s="291"/>
      <c r="Y20" s="354"/>
      <c r="Z20" s="1489"/>
      <c r="AA20" s="1488"/>
    </row>
    <row r="21" spans="1:27" ht="16.350000000000001" customHeight="1">
      <c r="A21" s="3" t="s">
        <v>122</v>
      </c>
      <c r="B21" s="264"/>
      <c r="C21" s="264"/>
      <c r="D21" s="264"/>
      <c r="E21" s="264"/>
      <c r="F21" s="264"/>
      <c r="G21" s="264"/>
      <c r="H21" s="264"/>
      <c r="I21" s="264"/>
      <c r="J21" s="990"/>
      <c r="K21" s="264"/>
      <c r="L21" s="264"/>
      <c r="M21" s="264"/>
      <c r="N21" s="264"/>
      <c r="O21" s="264"/>
      <c r="P21" s="990"/>
      <c r="Q21" s="264"/>
      <c r="R21" s="264"/>
      <c r="S21" s="264"/>
      <c r="T21" s="264"/>
      <c r="V21" s="402"/>
      <c r="W21" s="411"/>
      <c r="X21" s="291"/>
      <c r="Y21" s="354"/>
      <c r="Z21" s="1489"/>
      <c r="AA21" s="1488"/>
    </row>
    <row r="22" spans="1:27" ht="16.350000000000001" customHeight="1">
      <c r="A22" s="291" t="s">
        <v>135</v>
      </c>
      <c r="B22" s="264"/>
      <c r="C22" s="264"/>
      <c r="D22" s="264"/>
      <c r="E22" s="264"/>
      <c r="F22" s="264"/>
      <c r="G22" s="264"/>
      <c r="H22" s="264"/>
      <c r="I22" s="264"/>
      <c r="J22" s="990"/>
      <c r="K22" s="264"/>
      <c r="L22" s="264"/>
      <c r="M22" s="264"/>
      <c r="N22" s="264"/>
      <c r="O22" s="264"/>
      <c r="P22" s="990"/>
      <c r="Q22" s="264"/>
      <c r="R22" s="264"/>
      <c r="S22" s="264"/>
      <c r="T22" s="264"/>
      <c r="V22" s="402"/>
      <c r="W22" s="411"/>
      <c r="X22" s="291"/>
      <c r="Y22" s="354"/>
      <c r="Z22" s="1489"/>
      <c r="AA22" s="1488"/>
    </row>
    <row r="23" spans="1:27" ht="16.350000000000001" customHeight="1">
      <c r="A23" s="291" t="s">
        <v>207</v>
      </c>
      <c r="B23" s="287">
        <f>+'Exhibit L'!F24</f>
        <v>8.1999999999999993</v>
      </c>
      <c r="C23" s="264"/>
      <c r="D23" s="287">
        <f>+'Exhibit L'!AA24</f>
        <v>26.099999999999998</v>
      </c>
      <c r="E23" s="264"/>
      <c r="F23" s="275">
        <f>+'Exhibit M'!F24</f>
        <v>0.1</v>
      </c>
      <c r="G23" s="264"/>
      <c r="H23" s="288">
        <f>+'Exhibit M'!AA24</f>
        <v>0.2</v>
      </c>
      <c r="I23" s="288"/>
      <c r="J23" s="1500"/>
      <c r="K23" s="264"/>
      <c r="L23" s="287">
        <f>SUM(B23)+SUM(F23)</f>
        <v>8.2999999999999989</v>
      </c>
      <c r="M23" s="264"/>
      <c r="N23" s="287">
        <f>SUM(D23)+SUM(H23)</f>
        <v>26.299999999999997</v>
      </c>
      <c r="O23" s="287"/>
      <c r="P23" s="1509"/>
      <c r="Q23" s="264"/>
      <c r="R23" s="1937">
        <v>6.6</v>
      </c>
      <c r="S23" s="264"/>
      <c r="T23" s="287">
        <f>'Exhibit L'!AD24+'Exhibit M'!AD24</f>
        <v>25</v>
      </c>
      <c r="V23" s="402"/>
      <c r="W23" s="411">
        <f>ROUND(SUM(N23-T23),1)</f>
        <v>1.3</v>
      </c>
      <c r="X23" s="291"/>
      <c r="Y23" s="520">
        <f>ROUND(IF(W23=0,0,W23/ABS(T23)),3)</f>
        <v>5.1999999999999998E-2</v>
      </c>
      <c r="Z23" s="1489"/>
      <c r="AA23" s="1488"/>
    </row>
    <row r="24" spans="1:27" ht="16.350000000000001" customHeight="1">
      <c r="A24" s="291" t="s">
        <v>208</v>
      </c>
      <c r="B24" s="287">
        <f>+'Exhibit L'!F25</f>
        <v>2.5999999999999996</v>
      </c>
      <c r="C24" s="264"/>
      <c r="D24" s="287">
        <f>+'Exhibit L'!AA25</f>
        <v>5.0999999999999996</v>
      </c>
      <c r="E24" s="264"/>
      <c r="F24" s="275">
        <f>+'Exhibit M'!F25</f>
        <v>0</v>
      </c>
      <c r="G24" s="264"/>
      <c r="H24" s="288">
        <f>+'Exhibit M'!AA25</f>
        <v>0</v>
      </c>
      <c r="I24" s="288"/>
      <c r="J24" s="1500"/>
      <c r="K24" s="264"/>
      <c r="L24" s="287">
        <f>SUM(B24)+SUM(F24)</f>
        <v>2.5999999999999996</v>
      </c>
      <c r="M24" s="264"/>
      <c r="N24" s="287">
        <f>SUM(D24)+SUM(H24)</f>
        <v>5.0999999999999996</v>
      </c>
      <c r="O24" s="287"/>
      <c r="P24" s="1509"/>
      <c r="Q24" s="264"/>
      <c r="R24" s="1937">
        <v>1.5</v>
      </c>
      <c r="S24" s="264"/>
      <c r="T24" s="287">
        <f>'Exhibit L'!AD25+'Exhibit M'!AD25</f>
        <v>4.5</v>
      </c>
      <c r="V24" s="402"/>
      <c r="W24" s="411">
        <f>ROUND(SUM(N24-T24),1)</f>
        <v>0.6</v>
      </c>
      <c r="X24" s="291"/>
      <c r="Y24" s="520">
        <f>ROUND(IF(W24=0,0,W24/ABS(T24)),3)</f>
        <v>0.13300000000000001</v>
      </c>
      <c r="Z24" s="1489"/>
      <c r="AA24" s="1488"/>
    </row>
    <row r="25" spans="1:27" ht="16.350000000000001" customHeight="1">
      <c r="A25" s="291" t="s">
        <v>209</v>
      </c>
      <c r="B25" s="287">
        <f>+'Exhibit L'!F26</f>
        <v>17.600000000000001</v>
      </c>
      <c r="C25" s="264"/>
      <c r="D25" s="288">
        <f>+'Exhibit L'!AA26</f>
        <v>17.600000000000001</v>
      </c>
      <c r="E25" s="264"/>
      <c r="F25" s="275">
        <f>+'Exhibit M'!F26</f>
        <v>0.1</v>
      </c>
      <c r="G25" s="264"/>
      <c r="H25" s="1503">
        <f>+'Exhibit M'!AA26</f>
        <v>0.1</v>
      </c>
      <c r="I25" s="289"/>
      <c r="J25" s="1506"/>
      <c r="K25" s="264"/>
      <c r="L25" s="287">
        <f>SUM(B25)+SUM(F25)</f>
        <v>17.700000000000003</v>
      </c>
      <c r="M25" s="264"/>
      <c r="N25" s="287">
        <f>SUM(D25)+SUM(H25)</f>
        <v>17.700000000000003</v>
      </c>
      <c r="O25" s="287"/>
      <c r="P25" s="1509"/>
      <c r="Q25" s="264"/>
      <c r="R25" s="1937">
        <v>3.9</v>
      </c>
      <c r="S25" s="367"/>
      <c r="T25" s="287">
        <f>'Exhibit L'!AD26+'Exhibit M'!AD26</f>
        <v>17</v>
      </c>
      <c r="V25" s="402"/>
      <c r="W25" s="411">
        <f>ROUND(SUM(N25-T25),1)</f>
        <v>0.7</v>
      </c>
      <c r="X25" s="291"/>
      <c r="Y25" s="520">
        <f>ROUND(IF(W25=0,0,W25/ABS(T25)),3)</f>
        <v>4.1000000000000002E-2</v>
      </c>
      <c r="Z25" s="1489"/>
      <c r="AA25" s="1488"/>
    </row>
    <row r="26" spans="1:27" ht="15.75">
      <c r="A26" s="3" t="s">
        <v>162</v>
      </c>
      <c r="B26" s="997">
        <f>ROUND(SUM(B23:B25),1)</f>
        <v>28.4</v>
      </c>
      <c r="C26" s="13"/>
      <c r="D26" s="997">
        <f>ROUND(SUM(D23:D25),1)</f>
        <v>48.8</v>
      </c>
      <c r="E26" s="13"/>
      <c r="F26" s="997">
        <f>ROUND(SUM(F23:F25),1)</f>
        <v>0.2</v>
      </c>
      <c r="G26" s="13"/>
      <c r="H26" s="997">
        <f>ROUND(SUM(H23:H25),1)</f>
        <v>0.3</v>
      </c>
      <c r="I26" s="18"/>
      <c r="J26" s="1505"/>
      <c r="K26" s="13"/>
      <c r="L26" s="997">
        <f>ROUND(SUM(L23:L25),1)</f>
        <v>28.6</v>
      </c>
      <c r="M26" s="13"/>
      <c r="N26" s="997">
        <f>ROUND(SUM(N23:N25),1)</f>
        <v>49.1</v>
      </c>
      <c r="O26" s="18"/>
      <c r="P26" s="1505"/>
      <c r="Q26" s="13"/>
      <c r="R26" s="1938">
        <f>ROUND(SUM(R23:R25),1)</f>
        <v>12</v>
      </c>
      <c r="S26" s="13"/>
      <c r="T26" s="997">
        <f>ROUND(SUM(T23:T25),1)</f>
        <v>46.5</v>
      </c>
      <c r="U26" s="57"/>
      <c r="V26" s="92"/>
      <c r="W26" s="998">
        <f>ROUND(SUM(W23:W25),3)</f>
        <v>2.6</v>
      </c>
      <c r="X26" s="268"/>
      <c r="Y26" s="993">
        <f>ROUND(W26/T26,3)</f>
        <v>5.6000000000000001E-2</v>
      </c>
      <c r="Z26" s="1489"/>
      <c r="AA26" s="1488"/>
    </row>
    <row r="27" spans="1:27" ht="15.75">
      <c r="A27" s="3"/>
      <c r="B27" s="264"/>
      <c r="C27" s="264"/>
      <c r="D27" s="264"/>
      <c r="E27" s="264"/>
      <c r="F27" s="264"/>
      <c r="G27" s="264"/>
      <c r="H27" s="264"/>
      <c r="I27" s="264"/>
      <c r="J27" s="990"/>
      <c r="K27" s="264"/>
      <c r="L27" s="264"/>
      <c r="M27" s="264"/>
      <c r="N27" s="264"/>
      <c r="O27" s="264"/>
      <c r="P27" s="990"/>
      <c r="Q27" s="264"/>
      <c r="R27" s="1792"/>
      <c r="S27" s="264"/>
      <c r="T27" s="264"/>
      <c r="V27" s="402"/>
      <c r="W27" s="411"/>
      <c r="X27" s="291"/>
      <c r="Y27" s="354"/>
      <c r="Z27" s="1489"/>
      <c r="AA27" s="1488"/>
    </row>
    <row r="28" spans="1:27" ht="16.350000000000001" customHeight="1">
      <c r="A28" s="3" t="s">
        <v>143</v>
      </c>
      <c r="B28" s="264"/>
      <c r="C28" s="264"/>
      <c r="D28" s="264"/>
      <c r="E28" s="264"/>
      <c r="F28" s="264"/>
      <c r="G28" s="264"/>
      <c r="H28" s="264"/>
      <c r="I28" s="264"/>
      <c r="J28" s="990"/>
      <c r="K28" s="264"/>
      <c r="L28" s="264"/>
      <c r="M28" s="264"/>
      <c r="N28" s="264"/>
      <c r="O28" s="264"/>
      <c r="P28" s="990"/>
      <c r="Q28" s="264"/>
      <c r="R28" s="1792"/>
      <c r="S28" s="264"/>
      <c r="T28" s="264"/>
      <c r="V28" s="402"/>
      <c r="W28" s="411"/>
      <c r="X28" s="291"/>
      <c r="Y28" s="354"/>
      <c r="Z28" s="1489"/>
      <c r="AA28" s="1488"/>
    </row>
    <row r="29" spans="1:27" ht="15.75">
      <c r="A29" s="3" t="s">
        <v>211</v>
      </c>
      <c r="B29" s="984">
        <f>ROUND(SUM(B19-B26),1)</f>
        <v>4.4000000000000004</v>
      </c>
      <c r="C29" s="13"/>
      <c r="D29" s="984">
        <f>ROUND(SUM(D19-D26),1)</f>
        <v>18.2</v>
      </c>
      <c r="E29" s="13"/>
      <c r="F29" s="984">
        <f>ROUND(SUM(F19-F26),1)</f>
        <v>0.1</v>
      </c>
      <c r="G29" s="13"/>
      <c r="H29" s="984">
        <f>ROUND(SUM(H19-H26),1)</f>
        <v>0.3</v>
      </c>
      <c r="I29" s="18"/>
      <c r="J29" s="1505"/>
      <c r="K29" s="13"/>
      <c r="L29" s="984">
        <f>ROUND(SUM(L19-L26),1)</f>
        <v>4.5</v>
      </c>
      <c r="M29" s="13"/>
      <c r="N29" s="984">
        <f>ROUND(SUM(N19-N26),1)</f>
        <v>18.5</v>
      </c>
      <c r="O29" s="18"/>
      <c r="P29" s="1505"/>
      <c r="Q29" s="13"/>
      <c r="R29" s="1939">
        <f>ROUND(SUM(R19-R26),1)</f>
        <v>21.4</v>
      </c>
      <c r="S29" s="13"/>
      <c r="T29" s="984">
        <f>ROUND(SUM(T19-T26),1)</f>
        <v>18.5</v>
      </c>
      <c r="U29" s="57"/>
      <c r="V29" s="402"/>
      <c r="W29" s="357">
        <f>ROUND(SUM(N29-T29),1)</f>
        <v>0</v>
      </c>
      <c r="X29" s="291"/>
      <c r="Y29" s="676">
        <f>ROUND(IF(T29=0,1,W29/ABS(T29)),3)</f>
        <v>0</v>
      </c>
      <c r="Z29" s="1489"/>
      <c r="AA29" s="1488"/>
    </row>
    <row r="30" spans="1:27">
      <c r="A30" s="291"/>
      <c r="B30" s="264"/>
      <c r="C30" s="264"/>
      <c r="D30" s="264"/>
      <c r="E30" s="264"/>
      <c r="F30" s="264"/>
      <c r="G30" s="264"/>
      <c r="H30" s="264"/>
      <c r="I30" s="264"/>
      <c r="J30" s="990"/>
      <c r="K30" s="264"/>
      <c r="L30" s="264"/>
      <c r="M30" s="264"/>
      <c r="N30" s="264"/>
      <c r="O30" s="264"/>
      <c r="P30" s="990"/>
      <c r="Q30" s="264"/>
      <c r="R30" s="1792"/>
      <c r="S30" s="264"/>
      <c r="T30" s="264"/>
      <c r="V30" s="402"/>
      <c r="W30" s="411"/>
      <c r="X30" s="291"/>
      <c r="Y30" s="354"/>
      <c r="Z30" s="1489"/>
      <c r="AA30" s="1488"/>
    </row>
    <row r="31" spans="1:27" ht="16.350000000000001" customHeight="1">
      <c r="A31" s="3" t="s">
        <v>145</v>
      </c>
      <c r="B31" s="264"/>
      <c r="C31" s="264"/>
      <c r="D31" s="264"/>
      <c r="E31" s="264"/>
      <c r="F31" s="264"/>
      <c r="G31" s="264"/>
      <c r="H31" s="264"/>
      <c r="I31" s="264"/>
      <c r="J31" s="990"/>
      <c r="K31" s="264"/>
      <c r="L31" s="264"/>
      <c r="M31" s="264"/>
      <c r="N31" s="264"/>
      <c r="O31" s="264"/>
      <c r="P31" s="990"/>
      <c r="Q31" s="264"/>
      <c r="R31" s="1792"/>
      <c r="S31" s="264"/>
      <c r="T31" s="264"/>
      <c r="V31" s="402"/>
      <c r="W31" s="411"/>
      <c r="X31" s="291"/>
      <c r="Y31" s="354"/>
      <c r="Z31" s="1489"/>
      <c r="AA31" s="1488"/>
    </row>
    <row r="32" spans="1:27" ht="16.350000000000001" customHeight="1">
      <c r="A32" s="291" t="s">
        <v>147</v>
      </c>
      <c r="B32" s="275">
        <f>+'Exhibit L'!F36</f>
        <v>0</v>
      </c>
      <c r="C32" s="264"/>
      <c r="D32" s="275">
        <f>+'Exhibit L'!AA36</f>
        <v>0</v>
      </c>
      <c r="E32" s="264"/>
      <c r="F32" s="275">
        <f>+'Exhibit M'!F36</f>
        <v>0</v>
      </c>
      <c r="G32" s="287"/>
      <c r="H32" s="275">
        <f>+'Exhibit M'!AA36</f>
        <v>0</v>
      </c>
      <c r="I32" s="275"/>
      <c r="J32" s="1498"/>
      <c r="K32" s="264"/>
      <c r="L32" s="288">
        <f>SUM(B32)+SUM(F32)</f>
        <v>0</v>
      </c>
      <c r="M32" s="264"/>
      <c r="N32" s="288">
        <f>SUM(D32)+SUM(H32)</f>
        <v>0</v>
      </c>
      <c r="O32" s="288"/>
      <c r="P32" s="1500"/>
      <c r="Q32" s="264"/>
      <c r="R32" s="288">
        <v>0</v>
      </c>
      <c r="S32" s="264"/>
      <c r="T32" s="288">
        <f>'Exhibit L'!AD36+'Exhibit M'!AD36</f>
        <v>0</v>
      </c>
      <c r="V32" s="407"/>
      <c r="W32" s="411">
        <f>ROUND(SUM(N32-T32),1)</f>
        <v>0</v>
      </c>
      <c r="X32" s="268"/>
      <c r="Y32" s="520">
        <f>ROUND(IF(W32=0,0,W32/ABS(T32)),3)</f>
        <v>0</v>
      </c>
      <c r="Z32" s="1489"/>
      <c r="AA32" s="1488"/>
    </row>
    <row r="33" spans="1:27" ht="16.350000000000001" customHeight="1">
      <c r="A33" s="291" t="s">
        <v>212</v>
      </c>
      <c r="B33" s="275">
        <f>+'Exhibit L'!F37</f>
        <v>0</v>
      </c>
      <c r="C33" s="264"/>
      <c r="D33" s="835">
        <f>+'Exhibit L'!AA37</f>
        <v>0</v>
      </c>
      <c r="E33" s="264"/>
      <c r="F33" s="275">
        <f>+'Exhibit M'!F37</f>
        <v>0</v>
      </c>
      <c r="G33" s="264"/>
      <c r="H33" s="275">
        <f>+'Exhibit M'!AA37</f>
        <v>0</v>
      </c>
      <c r="I33" s="275"/>
      <c r="J33" s="1498"/>
      <c r="K33" s="264"/>
      <c r="L33" s="288">
        <f>SUM(B33)+SUM(F33)</f>
        <v>0</v>
      </c>
      <c r="M33" s="264"/>
      <c r="N33" s="288">
        <f>SUM(D33)+SUM(H33)</f>
        <v>0</v>
      </c>
      <c r="O33" s="288"/>
      <c r="P33" s="1500"/>
      <c r="Q33" s="264"/>
      <c r="R33" s="288">
        <v>0</v>
      </c>
      <c r="S33" s="367"/>
      <c r="T33" s="288">
        <f>'Exhibit L'!AD37+'Exhibit M'!AD37</f>
        <v>0</v>
      </c>
      <c r="V33" s="408"/>
      <c r="W33" s="411">
        <f>ROUND(SUM(N33-T33),1)</f>
        <v>0</v>
      </c>
      <c r="X33" s="268"/>
      <c r="Y33" s="520">
        <f>ROUND(IF(W33=0,0,W33/ABS(T33)),3)</f>
        <v>0</v>
      </c>
      <c r="Z33" s="1489"/>
      <c r="AA33" s="1488"/>
    </row>
    <row r="34" spans="1:27" ht="15.75">
      <c r="A34" s="3" t="s">
        <v>150</v>
      </c>
      <c r="B34" s="1000">
        <f>ROUND(SUM(B32:B33),1)</f>
        <v>0</v>
      </c>
      <c r="C34" s="13"/>
      <c r="D34" s="1000">
        <f>ROUND(SUM(D32:D33),1)</f>
        <v>0</v>
      </c>
      <c r="E34" s="13"/>
      <c r="F34" s="1000">
        <f>ROUND(SUM(F32:F33),1)</f>
        <v>0</v>
      </c>
      <c r="G34" s="13"/>
      <c r="H34" s="1000">
        <f>ROUND(SUM(H32:H33),1)</f>
        <v>0</v>
      </c>
      <c r="I34" s="17"/>
      <c r="J34" s="1507"/>
      <c r="K34" s="13"/>
      <c r="L34" s="1000">
        <f>ROUND(SUM(L32:L33),1)</f>
        <v>0</v>
      </c>
      <c r="M34" s="13"/>
      <c r="N34" s="997">
        <f>ROUND(SUM(N32:N33),1)</f>
        <v>0</v>
      </c>
      <c r="O34" s="18"/>
      <c r="P34" s="1505"/>
      <c r="Q34" s="13"/>
      <c r="R34" s="997">
        <f>ROUND(SUM(R32:R33),1)</f>
        <v>0</v>
      </c>
      <c r="S34" s="13"/>
      <c r="T34" s="997">
        <f>ROUND(SUM(T32:T33),1)</f>
        <v>0</v>
      </c>
      <c r="V34" s="409"/>
      <c r="W34" s="890">
        <f>ROUND(SUM(W32-W33),3)</f>
        <v>0</v>
      </c>
      <c r="X34" s="529"/>
      <c r="Y34" s="999">
        <f>ROUND(IF(T34=0,0,W34/ABS(T34)),3)</f>
        <v>0</v>
      </c>
      <c r="Z34" s="1489"/>
      <c r="AA34" s="1488"/>
    </row>
    <row r="35" spans="1:27" ht="15.75">
      <c r="A35" s="3"/>
      <c r="B35" s="615"/>
      <c r="C35" s="264"/>
      <c r="D35" s="615"/>
      <c r="E35" s="264"/>
      <c r="F35" s="264"/>
      <c r="G35" s="264"/>
      <c r="H35" s="264"/>
      <c r="I35" s="264"/>
      <c r="J35" s="990"/>
      <c r="K35" s="264"/>
      <c r="L35" s="264"/>
      <c r="M35" s="264"/>
      <c r="N35" s="615"/>
      <c r="O35" s="264"/>
      <c r="P35" s="990"/>
      <c r="Q35" s="264"/>
      <c r="R35" s="264"/>
      <c r="S35" s="264"/>
      <c r="T35" s="264"/>
      <c r="V35" s="402"/>
      <c r="W35" s="411"/>
      <c r="X35" s="291"/>
      <c r="Y35" s="354"/>
      <c r="Z35" s="1489"/>
      <c r="AA35" s="1488"/>
    </row>
    <row r="36" spans="1:27" ht="15.75" customHeight="1">
      <c r="A36" s="3" t="s">
        <v>143</v>
      </c>
      <c r="B36" s="264"/>
      <c r="C36" s="264"/>
      <c r="D36" s="264"/>
      <c r="E36" s="264"/>
      <c r="F36" s="264"/>
      <c r="G36" s="264"/>
      <c r="H36" s="264"/>
      <c r="I36" s="264"/>
      <c r="J36" s="990"/>
      <c r="K36" s="264"/>
      <c r="L36" s="264"/>
      <c r="M36" s="264"/>
      <c r="N36" s="264"/>
      <c r="O36" s="264"/>
      <c r="P36" s="990"/>
      <c r="Q36" s="264"/>
      <c r="R36" s="264"/>
      <c r="S36" s="264"/>
      <c r="T36" s="264"/>
      <c r="V36" s="402"/>
      <c r="W36" s="411"/>
      <c r="X36" s="291"/>
      <c r="Y36" s="354"/>
      <c r="Z36" s="1489"/>
      <c r="AA36" s="1488"/>
    </row>
    <row r="37" spans="1:27" ht="15.75" customHeight="1">
      <c r="A37" s="3" t="s">
        <v>213</v>
      </c>
      <c r="B37" s="264"/>
      <c r="C37" s="264"/>
      <c r="D37" s="264"/>
      <c r="E37" s="264"/>
      <c r="F37" s="264"/>
      <c r="G37" s="264"/>
      <c r="H37" s="264"/>
      <c r="I37" s="264"/>
      <c r="J37" s="990"/>
      <c r="K37" s="264"/>
      <c r="L37" s="264"/>
      <c r="M37" s="264"/>
      <c r="N37" s="264"/>
      <c r="O37" s="264"/>
      <c r="P37" s="990"/>
      <c r="Q37" s="264"/>
      <c r="R37" s="264"/>
      <c r="S37" s="264"/>
      <c r="T37" s="264"/>
      <c r="V37" s="402"/>
      <c r="W37" s="411"/>
      <c r="X37" s="291"/>
      <c r="Y37" s="354"/>
      <c r="Z37" s="1489"/>
      <c r="AA37" s="1488"/>
    </row>
    <row r="38" spans="1:27" ht="15.75" customHeight="1">
      <c r="A38" s="3" t="s">
        <v>214</v>
      </c>
      <c r="B38" s="264"/>
      <c r="C38" s="264"/>
      <c r="D38" s="264"/>
      <c r="E38" s="264"/>
      <c r="F38" s="367"/>
      <c r="G38" s="264"/>
      <c r="H38" s="264"/>
      <c r="I38" s="264"/>
      <c r="J38" s="990"/>
      <c r="K38" s="264"/>
      <c r="L38" s="264"/>
      <c r="M38" s="264"/>
      <c r="N38" s="264"/>
      <c r="O38" s="264"/>
      <c r="P38" s="990"/>
      <c r="Q38" s="264"/>
      <c r="R38" s="264"/>
      <c r="S38" s="264"/>
      <c r="T38" s="264"/>
      <c r="V38" s="402"/>
      <c r="W38" s="411"/>
      <c r="X38" s="291"/>
      <c r="Y38" s="354"/>
      <c r="Z38" s="1489"/>
      <c r="AA38" s="1488"/>
    </row>
    <row r="39" spans="1:27" ht="15.75" customHeight="1">
      <c r="A39" s="3" t="s">
        <v>215</v>
      </c>
      <c r="B39" s="26">
        <f>ROUND(SUM(B29+B34),1)</f>
        <v>4.4000000000000004</v>
      </c>
      <c r="C39" s="13"/>
      <c r="D39" s="26">
        <f>ROUND(SUM(D29+D34),1)</f>
        <v>18.2</v>
      </c>
      <c r="E39" s="13"/>
      <c r="F39" s="26">
        <f>ROUND(SUM(F29+F34),1)</f>
        <v>0.1</v>
      </c>
      <c r="G39" s="13"/>
      <c r="H39" s="26">
        <f>ROUND(SUM(H29+H34),1)</f>
        <v>0.3</v>
      </c>
      <c r="I39" s="26"/>
      <c r="J39" s="1501"/>
      <c r="K39" s="13"/>
      <c r="L39" s="26">
        <f>ROUND(SUM(L29+L34),1)</f>
        <v>4.5</v>
      </c>
      <c r="M39" s="13"/>
      <c r="N39" s="26">
        <f>ROUND(SUM(N29+N34),1)</f>
        <v>18.5</v>
      </c>
      <c r="O39" s="26"/>
      <c r="P39" s="1501"/>
      <c r="Q39" s="13"/>
      <c r="R39" s="26">
        <f>ROUND(SUM(R29+R34),1)</f>
        <v>21.4</v>
      </c>
      <c r="S39" s="13"/>
      <c r="T39" s="26">
        <f>ROUND(SUM(T29+T34),1)</f>
        <v>18.5</v>
      </c>
      <c r="U39" s="57"/>
      <c r="V39" s="402"/>
      <c r="W39" s="13">
        <f>ROUND(SUM(N39-T39),1)</f>
        <v>0</v>
      </c>
      <c r="X39" s="291"/>
      <c r="Y39" s="677">
        <f>ROUND(IF(T39=0,1,W39/ABS(T39)),3)</f>
        <v>0</v>
      </c>
      <c r="Z39" s="1489"/>
      <c r="AA39" s="1488"/>
    </row>
    <row r="40" spans="1:27" ht="15.75">
      <c r="A40" s="3"/>
      <c r="B40" s="264"/>
      <c r="C40" s="264"/>
      <c r="D40" s="264"/>
      <c r="E40" s="264"/>
      <c r="F40" s="264"/>
      <c r="G40" s="264"/>
      <c r="H40" s="264"/>
      <c r="I40" s="264"/>
      <c r="J40" s="990"/>
      <c r="K40" s="264"/>
      <c r="L40" s="264"/>
      <c r="M40" s="264"/>
      <c r="N40" s="264"/>
      <c r="O40" s="264"/>
      <c r="P40" s="990"/>
      <c r="Q40" s="264"/>
      <c r="R40" s="264"/>
      <c r="S40" s="264"/>
      <c r="T40" s="264"/>
      <c r="V40" s="402"/>
      <c r="X40" s="291"/>
      <c r="Z40" s="1489"/>
      <c r="AA40" s="1488"/>
    </row>
    <row r="41" spans="1:27" s="57" customFormat="1" ht="15.75">
      <c r="A41" s="3" t="s">
        <v>153</v>
      </c>
      <c r="B41" s="1936">
        <f>+'Exhibit L'!F14</f>
        <v>2236.3000000000002</v>
      </c>
      <c r="C41" s="13"/>
      <c r="D41" s="1936">
        <f>+'Exhibit L'!AA14</f>
        <v>2222.5</v>
      </c>
      <c r="E41" s="13"/>
      <c r="F41" s="1936">
        <f>+'Exhibit M'!F14</f>
        <v>46.8</v>
      </c>
      <c r="G41" s="13"/>
      <c r="H41" s="18">
        <f>+'Exhibit M'!AA14</f>
        <v>46.6</v>
      </c>
      <c r="I41" s="18"/>
      <c r="J41" s="1505"/>
      <c r="K41" s="13"/>
      <c r="L41" s="18">
        <f>ROUND(SUM(B41)+SUM(F41),1)</f>
        <v>2283.1</v>
      </c>
      <c r="M41" s="13"/>
      <c r="N41" s="26">
        <f>ROUND(SUM(D41+H41),1)</f>
        <v>2269.1</v>
      </c>
      <c r="O41" s="26"/>
      <c r="P41" s="1501"/>
      <c r="Q41" s="13"/>
      <c r="R41" s="984">
        <v>1934.1</v>
      </c>
      <c r="S41" s="13"/>
      <c r="T41" s="984">
        <f>'Exhibit L'!AD14+'Exhibit M'!AD14</f>
        <v>1937</v>
      </c>
      <c r="V41" s="398"/>
      <c r="W41" s="19">
        <f>ROUND(SUM(+N41-T41),1)</f>
        <v>332.1</v>
      </c>
      <c r="X41" s="3"/>
      <c r="Y41" s="521">
        <f>ROUND(IF(W41=0,0,W41/ABS(T41)),3)</f>
        <v>0.17100000000000001</v>
      </c>
      <c r="Z41" s="1493"/>
      <c r="AA41" s="1491"/>
    </row>
    <row r="42" spans="1:27" ht="16.5" thickBot="1">
      <c r="A42" s="3" t="s">
        <v>217</v>
      </c>
      <c r="B42" s="1001">
        <f>ROUND(SUM(B41)+SUM(B39),1)</f>
        <v>2240.6999999999998</v>
      </c>
      <c r="C42" s="20"/>
      <c r="D42" s="1001">
        <f>ROUND(SUM(D41)+SUM(D39),1)</f>
        <v>2240.6999999999998</v>
      </c>
      <c r="E42" s="20"/>
      <c r="F42" s="994">
        <f>ROUND(SUM(F41)+SUM(F39),1)</f>
        <v>46.9</v>
      </c>
      <c r="G42" s="27"/>
      <c r="H42" s="1002">
        <f>ROUND(SUM(H41)+SUM(H39),1)</f>
        <v>46.9</v>
      </c>
      <c r="I42" s="44"/>
      <c r="J42" s="1508"/>
      <c r="K42" s="20"/>
      <c r="L42" s="1002">
        <f>ROUND(SUM(L41)+SUM(L39),1)</f>
        <v>2287.6</v>
      </c>
      <c r="M42" s="20"/>
      <c r="N42" s="1002">
        <f>ROUND(SUM(N41)+SUM(N39),1)</f>
        <v>2287.6</v>
      </c>
      <c r="O42" s="44"/>
      <c r="P42" s="1508"/>
      <c r="Q42" s="20"/>
      <c r="R42" s="1002">
        <f>ROUND(SUM(R41)+SUM(R39),1)</f>
        <v>1955.5</v>
      </c>
      <c r="S42" s="20"/>
      <c r="T42" s="1002">
        <f>ROUND(SUM(T41)+SUM(T39),1)</f>
        <v>1955.5</v>
      </c>
      <c r="U42" s="45"/>
      <c r="V42" s="403"/>
      <c r="W42" s="1003">
        <f>ROUND(SUM(W39+W41),3)</f>
        <v>332.1</v>
      </c>
      <c r="X42" s="379"/>
      <c r="Y42" s="995">
        <f>ROUND(IF(T42=0,1,W42/ABS(T42)),3)</f>
        <v>0.17</v>
      </c>
      <c r="Z42" s="1489"/>
      <c r="AA42" s="1488"/>
    </row>
    <row r="43" spans="1:27" ht="15.75" thickTop="1">
      <c r="A43" s="291"/>
      <c r="B43" s="410"/>
      <c r="C43" s="379"/>
      <c r="D43" s="410"/>
      <c r="E43" s="379"/>
      <c r="F43" s="410"/>
      <c r="G43" s="379"/>
      <c r="H43" s="410"/>
      <c r="I43" s="379"/>
      <c r="J43" s="379"/>
      <c r="K43" s="379"/>
      <c r="L43" s="410"/>
      <c r="M43" s="379"/>
      <c r="N43" s="410"/>
      <c r="O43" s="379"/>
      <c r="P43" s="379"/>
      <c r="Q43" s="379"/>
      <c r="R43" s="410"/>
      <c r="S43" s="379"/>
      <c r="T43" s="410"/>
      <c r="U43" s="379"/>
      <c r="V43" s="404"/>
      <c r="W43" s="404"/>
      <c r="X43" s="404"/>
      <c r="Y43" s="404"/>
      <c r="Z43" s="1489"/>
      <c r="AA43" s="1490"/>
    </row>
    <row r="44" spans="1:27" ht="18">
      <c r="A44" s="291" t="s">
        <v>223</v>
      </c>
      <c r="B44" s="291"/>
      <c r="C44" s="291"/>
      <c r="D44" s="291"/>
      <c r="E44" s="291"/>
      <c r="F44" s="291"/>
      <c r="G44" s="291"/>
      <c r="H44" s="291"/>
      <c r="I44" s="291"/>
      <c r="J44" s="291"/>
      <c r="K44" s="291"/>
      <c r="L44" s="291"/>
      <c r="M44" s="291"/>
      <c r="N44" s="291"/>
      <c r="O44" s="291"/>
      <c r="P44" s="291"/>
      <c r="Q44" s="291"/>
      <c r="R44" s="264"/>
      <c r="S44" s="291"/>
      <c r="T44" s="291"/>
      <c r="U44" s="291"/>
      <c r="V44" s="354"/>
      <c r="W44" s="504"/>
      <c r="X44" s="354"/>
      <c r="Y44" s="354"/>
      <c r="Z44" s="1489"/>
      <c r="AA44" s="1488"/>
    </row>
    <row r="45" spans="1:27">
      <c r="A45" s="291"/>
      <c r="B45" s="291"/>
      <c r="C45" s="291"/>
      <c r="D45" s="291"/>
      <c r="E45" s="291"/>
      <c r="F45" s="291" t="s">
        <v>103</v>
      </c>
      <c r="G45" s="291"/>
      <c r="H45" s="291"/>
      <c r="I45" s="291"/>
      <c r="J45" s="291"/>
      <c r="K45" s="291"/>
      <c r="L45" s="291"/>
      <c r="M45" s="291"/>
      <c r="N45" s="291"/>
      <c r="O45" s="291"/>
      <c r="P45" s="291"/>
      <c r="R45" s="264"/>
      <c r="S45" s="291"/>
      <c r="T45" s="291"/>
      <c r="U45" s="291"/>
      <c r="V45" s="354"/>
      <c r="W45" s="354"/>
      <c r="X45" s="354"/>
      <c r="Y45" s="354"/>
      <c r="Z45" s="1489"/>
      <c r="AA45" s="1488"/>
    </row>
    <row r="46" spans="1:27">
      <c r="A46" s="268"/>
      <c r="B46" s="291"/>
      <c r="C46" s="291"/>
      <c r="D46" s="291"/>
      <c r="E46" s="291"/>
      <c r="F46" s="291"/>
      <c r="G46" s="291"/>
      <c r="H46" s="291"/>
      <c r="I46" s="291"/>
      <c r="J46" s="291"/>
      <c r="K46" s="291"/>
      <c r="L46" s="291"/>
      <c r="M46" s="291"/>
      <c r="N46" s="291"/>
      <c r="O46" s="291"/>
      <c r="P46" s="291"/>
      <c r="Q46" s="291"/>
      <c r="R46" s="291"/>
      <c r="S46" s="291"/>
      <c r="T46" s="291"/>
      <c r="U46" s="291"/>
      <c r="V46" s="354"/>
      <c r="W46" s="354"/>
      <c r="X46" s="354"/>
      <c r="Y46" s="354"/>
      <c r="Z46" s="1489"/>
      <c r="AA46" s="1488"/>
    </row>
    <row r="47" spans="1:27">
      <c r="A47" s="291"/>
      <c r="B47" s="291"/>
      <c r="C47" s="291"/>
      <c r="D47" s="291"/>
      <c r="E47" s="291"/>
      <c r="F47" s="291"/>
      <c r="G47" s="291"/>
      <c r="H47" s="291"/>
      <c r="I47" s="291"/>
      <c r="J47" s="291"/>
      <c r="K47" s="291"/>
      <c r="L47" s="291"/>
      <c r="M47" s="291"/>
      <c r="N47" s="291"/>
      <c r="O47" s="291"/>
      <c r="P47" s="291"/>
      <c r="Q47" s="291"/>
      <c r="R47" s="291"/>
      <c r="S47" s="291"/>
      <c r="T47" s="291"/>
      <c r="U47" s="291"/>
      <c r="V47" s="354"/>
      <c r="W47" s="354"/>
      <c r="X47" s="354"/>
      <c r="Y47" s="354"/>
      <c r="Z47" s="1489"/>
      <c r="AA47" s="1488"/>
    </row>
    <row r="48" spans="1:27">
      <c r="A48" s="291"/>
      <c r="B48" s="291"/>
      <c r="C48" s="291"/>
      <c r="D48" s="291"/>
      <c r="E48" s="291"/>
      <c r="F48" s="291"/>
      <c r="G48" s="291"/>
      <c r="H48" s="291"/>
      <c r="I48" s="291"/>
      <c r="J48" s="291"/>
      <c r="K48" s="291"/>
      <c r="L48" s="291"/>
      <c r="M48" s="291"/>
      <c r="N48" s="291"/>
      <c r="O48" s="291"/>
      <c r="P48" s="291"/>
      <c r="Q48" s="291"/>
      <c r="R48" s="291"/>
      <c r="S48" s="291"/>
      <c r="T48" s="291"/>
      <c r="U48" s="291"/>
      <c r="V48" s="354"/>
      <c r="W48" s="354"/>
      <c r="X48" s="354"/>
      <c r="Y48" s="354"/>
      <c r="Z48" s="1489"/>
      <c r="AA48" s="1488"/>
    </row>
    <row r="49" spans="1:27">
      <c r="A49" s="291"/>
      <c r="B49" s="291"/>
      <c r="C49" s="291"/>
      <c r="D49" s="291"/>
      <c r="E49" s="291"/>
      <c r="F49" s="291"/>
      <c r="G49" s="291"/>
      <c r="H49" s="291"/>
      <c r="I49" s="291"/>
      <c r="J49" s="291"/>
      <c r="K49" s="291"/>
      <c r="L49" s="291"/>
      <c r="M49" s="291"/>
      <c r="N49" s="291"/>
      <c r="O49" s="291"/>
      <c r="P49" s="291"/>
      <c r="Q49" s="291"/>
      <c r="R49" s="291"/>
      <c r="S49" s="291"/>
      <c r="T49" s="291"/>
      <c r="U49" s="291"/>
      <c r="V49" s="354"/>
      <c r="W49" s="354"/>
      <c r="X49" s="354"/>
      <c r="Y49" s="354"/>
      <c r="Z49" s="1489"/>
      <c r="AA49" s="1488"/>
    </row>
    <row r="50" spans="1:27">
      <c r="A50" s="291"/>
      <c r="B50" s="291"/>
      <c r="C50" s="291"/>
      <c r="D50" s="291"/>
      <c r="E50" s="291"/>
      <c r="F50" s="291"/>
      <c r="G50" s="291"/>
      <c r="H50" s="291"/>
      <c r="I50" s="291"/>
      <c r="J50" s="291"/>
      <c r="K50" s="291"/>
      <c r="L50" s="291"/>
      <c r="M50" s="291"/>
      <c r="N50" s="291"/>
      <c r="O50" s="291"/>
      <c r="P50" s="291"/>
      <c r="Q50" s="291"/>
      <c r="R50" s="291"/>
      <c r="S50" s="291"/>
      <c r="T50" s="291"/>
      <c r="U50" s="291"/>
      <c r="V50" s="354"/>
      <c r="W50" s="354"/>
      <c r="X50" s="354"/>
      <c r="Y50" s="354"/>
      <c r="Z50" s="1489"/>
      <c r="AA50" s="1488"/>
    </row>
    <row r="51" spans="1:27">
      <c r="A51" s="291"/>
      <c r="B51" s="291"/>
      <c r="C51" s="291"/>
      <c r="D51" s="291"/>
      <c r="E51" s="291"/>
      <c r="F51" s="291"/>
      <c r="G51" s="291"/>
      <c r="H51" s="291"/>
      <c r="I51" s="291"/>
      <c r="J51" s="291"/>
      <c r="K51" s="291"/>
      <c r="L51" s="291"/>
      <c r="M51" s="291"/>
      <c r="N51" s="291"/>
      <c r="O51" s="291"/>
      <c r="P51" s="291"/>
      <c r="Q51" s="291"/>
      <c r="R51" s="291"/>
      <c r="S51" s="291"/>
      <c r="T51" s="291"/>
      <c r="U51" s="291"/>
      <c r="V51" s="354"/>
      <c r="W51" s="354"/>
      <c r="X51" s="354"/>
      <c r="Y51" s="354"/>
      <c r="Z51" s="1489"/>
      <c r="AA51" s="1488"/>
    </row>
    <row r="52" spans="1:27">
      <c r="A52" s="291"/>
      <c r="B52" s="291"/>
      <c r="C52" s="291"/>
      <c r="D52" s="291"/>
      <c r="E52" s="291"/>
      <c r="F52" s="291"/>
      <c r="G52" s="291"/>
      <c r="H52" s="291"/>
      <c r="I52" s="291"/>
      <c r="J52" s="291"/>
      <c r="K52" s="291"/>
      <c r="L52" s="291"/>
      <c r="M52" s="291"/>
      <c r="N52" s="291"/>
      <c r="O52" s="291"/>
      <c r="P52" s="291"/>
      <c r="Q52" s="291"/>
      <c r="R52" s="291"/>
      <c r="S52" s="291"/>
      <c r="T52" s="291"/>
      <c r="U52" s="291"/>
      <c r="V52" s="354"/>
      <c r="W52" s="354"/>
      <c r="X52" s="354"/>
      <c r="Y52" s="354"/>
      <c r="Z52" s="1489"/>
      <c r="AA52" s="1488"/>
    </row>
    <row r="53" spans="1:27">
      <c r="A53" s="291"/>
      <c r="B53" s="291"/>
      <c r="C53" s="291"/>
      <c r="D53" s="291"/>
      <c r="E53" s="291"/>
      <c r="F53" s="291"/>
      <c r="G53" s="291"/>
      <c r="H53" s="291"/>
      <c r="I53" s="291"/>
      <c r="J53" s="291"/>
      <c r="K53" s="291"/>
      <c r="L53" s="291"/>
      <c r="M53" s="291"/>
      <c r="N53" s="291"/>
      <c r="O53" s="291"/>
      <c r="P53" s="291"/>
      <c r="Q53" s="291"/>
      <c r="R53" s="291"/>
      <c r="S53" s="291"/>
      <c r="T53" s="291"/>
      <c r="U53" s="291"/>
      <c r="V53" s="354"/>
      <c r="W53" s="354"/>
      <c r="X53" s="354"/>
      <c r="Y53" s="354"/>
      <c r="Z53" s="1489"/>
      <c r="AA53" s="1488"/>
    </row>
    <row r="54" spans="1:27">
      <c r="A54" s="291"/>
      <c r="B54" s="291"/>
      <c r="C54" s="291"/>
      <c r="D54" s="291"/>
      <c r="E54" s="291"/>
      <c r="F54" s="291"/>
      <c r="G54" s="291"/>
      <c r="H54" s="291"/>
      <c r="I54" s="291"/>
      <c r="J54" s="291"/>
      <c r="K54" s="291"/>
      <c r="L54" s="291"/>
      <c r="M54" s="291"/>
      <c r="N54" s="291"/>
      <c r="O54" s="291"/>
      <c r="P54" s="291"/>
      <c r="Q54" s="291"/>
      <c r="R54" s="291"/>
      <c r="S54" s="291"/>
      <c r="T54" s="291"/>
      <c r="U54" s="291"/>
      <c r="V54" s="354"/>
      <c r="W54" s="354"/>
      <c r="X54" s="354"/>
      <c r="Y54" s="354"/>
      <c r="Z54" s="1489"/>
      <c r="AA54" s="1488"/>
    </row>
    <row r="55" spans="1:27">
      <c r="A55" s="291"/>
      <c r="B55" s="291"/>
      <c r="C55" s="291"/>
      <c r="D55" s="291"/>
      <c r="E55" s="291"/>
      <c r="F55" s="291"/>
      <c r="G55" s="291"/>
      <c r="H55" s="291"/>
      <c r="I55" s="291"/>
      <c r="J55" s="291"/>
      <c r="K55" s="291"/>
      <c r="L55" s="291"/>
      <c r="M55" s="291"/>
      <c r="N55" s="291"/>
      <c r="O55" s="291"/>
      <c r="P55" s="291"/>
      <c r="Q55" s="291"/>
      <c r="R55" s="291"/>
      <c r="S55" s="291"/>
      <c r="T55" s="291"/>
      <c r="U55" s="291"/>
      <c r="V55" s="354"/>
      <c r="W55" s="354"/>
      <c r="X55" s="354"/>
      <c r="Y55" s="354"/>
      <c r="Z55" s="1489"/>
      <c r="AA55" s="1488"/>
    </row>
    <row r="56" spans="1:27">
      <c r="A56" s="291"/>
      <c r="B56" s="291"/>
      <c r="C56" s="291"/>
      <c r="D56" s="291"/>
      <c r="E56" s="291"/>
      <c r="F56" s="291"/>
      <c r="G56" s="291"/>
      <c r="H56" s="291"/>
      <c r="I56" s="291"/>
      <c r="J56" s="291"/>
      <c r="K56" s="291"/>
      <c r="L56" s="291"/>
      <c r="M56" s="291"/>
      <c r="N56" s="291"/>
      <c r="O56" s="291"/>
      <c r="P56" s="291"/>
      <c r="Q56" s="291"/>
      <c r="R56" s="291"/>
      <c r="S56" s="291"/>
      <c r="T56" s="291"/>
      <c r="U56" s="291"/>
      <c r="V56" s="291"/>
      <c r="W56" s="291"/>
    </row>
    <row r="57" spans="1:27">
      <c r="A57" s="291"/>
      <c r="B57" s="291"/>
      <c r="C57" s="291"/>
      <c r="D57" s="291"/>
      <c r="E57" s="291"/>
      <c r="F57" s="291"/>
      <c r="G57" s="291"/>
      <c r="H57" s="291"/>
      <c r="I57" s="291"/>
      <c r="J57" s="291"/>
      <c r="K57" s="291"/>
      <c r="L57" s="291"/>
      <c r="M57" s="291"/>
      <c r="N57" s="291"/>
      <c r="O57" s="291"/>
      <c r="P57" s="291"/>
      <c r="Q57" s="291"/>
      <c r="R57" s="291"/>
      <c r="S57" s="291"/>
      <c r="T57" s="291"/>
      <c r="U57" s="291"/>
      <c r="V57" s="291"/>
      <c r="W57" s="291"/>
    </row>
    <row r="58" spans="1:27">
      <c r="A58" s="291"/>
      <c r="B58" s="291"/>
      <c r="C58" s="291"/>
      <c r="D58" s="291"/>
      <c r="E58" s="291"/>
      <c r="F58" s="291"/>
      <c r="G58" s="291"/>
      <c r="H58" s="291"/>
      <c r="I58" s="291"/>
      <c r="J58" s="291"/>
      <c r="K58" s="291"/>
      <c r="L58" s="291"/>
      <c r="M58" s="291"/>
      <c r="N58" s="291"/>
      <c r="O58" s="291"/>
      <c r="P58" s="291"/>
      <c r="Q58" s="291"/>
      <c r="R58" s="291"/>
      <c r="S58" s="291"/>
      <c r="T58" s="291"/>
      <c r="U58" s="291"/>
      <c r="V58" s="291"/>
      <c r="W58" s="291"/>
    </row>
    <row r="59" spans="1:27">
      <c r="A59" s="291"/>
      <c r="B59" s="291"/>
      <c r="C59" s="291"/>
      <c r="D59" s="291"/>
      <c r="E59" s="291"/>
      <c r="F59" s="291"/>
      <c r="G59" s="291"/>
      <c r="H59" s="291"/>
      <c r="I59" s="291"/>
      <c r="J59" s="291"/>
      <c r="K59" s="291"/>
      <c r="L59" s="291"/>
      <c r="M59" s="291"/>
      <c r="N59" s="291"/>
      <c r="O59" s="291"/>
      <c r="P59" s="291"/>
      <c r="Q59" s="291"/>
      <c r="R59" s="291"/>
      <c r="S59" s="291"/>
      <c r="T59" s="291"/>
      <c r="U59" s="291"/>
      <c r="V59" s="291"/>
      <c r="W59" s="291"/>
    </row>
    <row r="60" spans="1:27">
      <c r="A60" s="291"/>
      <c r="B60" s="291"/>
      <c r="C60" s="291"/>
      <c r="D60" s="291"/>
      <c r="E60" s="291"/>
      <c r="F60" s="291"/>
      <c r="G60" s="291"/>
      <c r="H60" s="291"/>
      <c r="I60" s="291"/>
      <c r="J60" s="291"/>
      <c r="K60" s="291"/>
      <c r="L60" s="291"/>
      <c r="M60" s="291"/>
      <c r="N60" s="291"/>
      <c r="O60" s="291"/>
      <c r="P60" s="291"/>
      <c r="Q60" s="291"/>
      <c r="R60" s="291"/>
      <c r="S60" s="291"/>
      <c r="T60" s="291"/>
      <c r="U60" s="291"/>
      <c r="V60" s="291"/>
      <c r="W60" s="291"/>
    </row>
    <row r="61" spans="1:27">
      <c r="A61" s="291"/>
      <c r="B61" s="291"/>
      <c r="C61" s="291"/>
      <c r="D61" s="291"/>
      <c r="E61" s="291"/>
      <c r="F61" s="291"/>
      <c r="G61" s="291"/>
      <c r="H61" s="291"/>
      <c r="I61" s="291"/>
      <c r="J61" s="291"/>
      <c r="K61" s="291"/>
      <c r="L61" s="291"/>
      <c r="M61" s="291"/>
      <c r="N61" s="291"/>
      <c r="O61" s="291"/>
      <c r="P61" s="291"/>
      <c r="Q61" s="291"/>
      <c r="R61" s="291"/>
      <c r="S61" s="291"/>
      <c r="T61" s="291"/>
      <c r="U61" s="291"/>
      <c r="V61" s="291"/>
      <c r="W61" s="291"/>
    </row>
  </sheetData>
  <customSheetViews>
    <customSheetView guid="{83D69B98-1714-4D17-901F-87B47BE66947}" scale="90" showPageBreaks="1" showGridLines="0" fitToPage="1" printArea="1" topLeftCell="A13">
      <selection activeCell="F18" sqref="F18"/>
      <pageMargins left="0.25" right="0.25" top="0.5" bottom="0.5" header="0" footer="0.25"/>
      <printOptions horizontalCentered="1"/>
      <pageSetup scale="57" firstPageNumber="6" orientation="landscape" useFirstPageNumber="1" r:id="rId1"/>
      <headerFooter scaleWithDoc="0" alignWithMargins="0">
        <oddFooter>&amp;C&amp;8&amp;P</oddFooter>
      </headerFooter>
    </customSheetView>
    <customSheetView guid="{F9AE1502-86F7-4AAA-AE66-F6A75A634C1B}" scale="90" showPageBreaks="1" showGridLines="0" fitToPage="1" printArea="1">
      <selection activeCell="L7" sqref="L7"/>
      <pageMargins left="0.25" right="0.25" top="0.5" bottom="0.5" header="0" footer="0.25"/>
      <printOptions horizontalCentered="1"/>
      <pageSetup scale="33" firstPageNumber="6" orientation="landscape" useFirstPageNumber="1" r:id="rId2"/>
      <headerFooter scaleWithDoc="0" alignWithMargins="0">
        <oddFooter>&amp;C&amp;8&amp;P</oddFooter>
      </headerFooter>
    </customSheetView>
    <customSheetView guid="{C41E3923-0A88-49D0-AE43-0E74D386A056}" scale="90" showPageBreaks="1" showGridLines="0" fitToPage="1" printArea="1">
      <selection activeCell="L7" sqref="L7"/>
      <pageMargins left="0.25" right="0.25" top="0.5" bottom="0.5" header="0" footer="0.25"/>
      <printOptions horizontalCentered="1"/>
      <pageSetup scale="57" firstPageNumber="6" orientation="landscape" useFirstPageNumber="1" r:id="rId3"/>
      <headerFooter scaleWithDoc="0" alignWithMargins="0">
        <oddFooter>&amp;C&amp;8&amp;P</oddFooter>
      </headerFooter>
    </customSheetView>
    <customSheetView guid="{1DF171D7-3BFC-49F6-B708-0F91FCFAB6E2}" scale="90" showPageBreaks="1" showGridLines="0" fitToPage="1" printArea="1">
      <selection activeCell="L7" sqref="L7"/>
      <pageMargins left="0.25" right="0.25" top="0.5" bottom="0.5" header="0" footer="0.25"/>
      <printOptions horizontalCentered="1"/>
      <pageSetup scale="57" firstPageNumber="6" orientation="landscape" useFirstPageNumber="1" r:id="rId4"/>
      <headerFooter scaleWithDoc="0" alignWithMargins="0">
        <oddFooter>&amp;C&amp;8&amp;P</oddFooter>
      </headerFooter>
    </customSheetView>
    <customSheetView guid="{9F00D83C-7F4F-41B5-9976-8610D9EBC976}" scale="90" showPageBreaks="1" showGridLines="0" fitToPage="1" printArea="1">
      <selection activeCell="L7" sqref="L7"/>
      <pageMargins left="0.25" right="0.25" top="0.5" bottom="0.5" header="0" footer="0.25"/>
      <printOptions horizontalCentered="1"/>
      <pageSetup scale="58" firstPageNumber="6"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11">
      <selection activeCell="R25" sqref="R25"/>
      <pageMargins left="0.25" right="0.25" top="0.5" bottom="0.5" header="0" footer="0.25"/>
      <printOptions horizontalCentered="1"/>
      <pageSetup scale="57" firstPageNumber="6" orientation="landscape" useFirstPageNumber="1" r:id="rId6"/>
      <headerFooter scaleWithDoc="0" alignWithMargins="0">
        <oddFooter>&amp;C&amp;8&amp;P</oddFooter>
      </headerFooter>
    </customSheetView>
    <customSheetView guid="{3A50DD26-AAF5-43D4-97DE-BAE3367A2F29}" scale="90" showPageBreaks="1" showGridLines="0" fitToPage="1" printArea="1">
      <selection activeCell="L7" sqref="L7"/>
      <pageMargins left="0.25" right="0.25" top="0.5" bottom="0.5" header="0" footer="0.25"/>
      <printOptions horizontalCentered="1"/>
      <pageSetup scale="57" firstPageNumber="6" orientation="landscape" useFirstPageNumber="1" r:id="rId7"/>
      <headerFooter scaleWithDoc="0" alignWithMargins="0">
        <oddFooter>&amp;C&amp;8&amp;P</oddFooter>
      </headerFooter>
    </customSheetView>
    <customSheetView guid="{C3636880-B45B-4897-94F2-F91976416934}" scale="90" showPageBreaks="1" showGridLines="0" fitToPage="1" printArea="1">
      <selection activeCell="L7" sqref="L7"/>
      <pageMargins left="0.25" right="0.25" top="0.5" bottom="0.5" header="0" footer="0.25"/>
      <printOptions horizontalCentered="1"/>
      <pageSetup scale="58" firstPageNumber="6" orientation="landscape" useFirstPageNumber="1" r:id="rId8"/>
      <headerFooter scaleWithDoc="0" alignWithMargins="0">
        <oddFooter>&amp;C&amp;8&amp;P</oddFooter>
      </headerFooter>
    </customSheetView>
  </customSheetViews>
  <mergeCells count="1">
    <mergeCell ref="W12:Y12"/>
  </mergeCells>
  <printOptions horizontalCentered="1"/>
  <pageMargins left="0.25" right="0.25" top="0.5" bottom="0.5" header="0" footer="0.25"/>
  <pageSetup scale="58" firstPageNumber="6" orientation="landscape" useFirstPageNumber="1" r:id="rId9"/>
  <headerFooter scaleWithDoc="0" alignWithMargins="0">
    <oddFooter>&amp;C&amp;8&amp;P</oddFooter>
  </headerFooter>
  <customProperties>
    <customPr name="SheetOptions" r:id="rId10"/>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1.88671875" style="23" customWidth="1"/>
    <col min="9" max="9" width="14.88671875" style="23" customWidth="1"/>
    <col min="10" max="10" width="1.88671875" style="23" customWidth="1"/>
    <col min="11" max="11" width="14.109375" style="23" customWidth="1"/>
    <col min="12" max="12" width="8.88671875" style="23"/>
    <col min="13" max="13" width="10.109375" style="23" bestFit="1" customWidth="1"/>
    <col min="14" max="16384" width="8.88671875" style="23"/>
  </cols>
  <sheetData>
    <row r="1" spans="1:11">
      <c r="A1" s="377" t="s">
        <v>97</v>
      </c>
    </row>
    <row r="2" spans="1:11">
      <c r="A2" s="354"/>
    </row>
    <row r="3" spans="1:11" ht="18" customHeight="1">
      <c r="A3" s="956" t="s">
        <v>98</v>
      </c>
      <c r="B3" s="957"/>
      <c r="C3" s="957"/>
      <c r="D3" s="958"/>
      <c r="E3" s="957"/>
      <c r="F3" s="958"/>
      <c r="G3" s="30"/>
      <c r="H3" s="958"/>
      <c r="I3" s="30"/>
      <c r="J3" s="958"/>
      <c r="K3" s="31" t="s">
        <v>224</v>
      </c>
    </row>
    <row r="4" spans="1:11" ht="18" customHeight="1">
      <c r="A4" s="956" t="s">
        <v>225</v>
      </c>
      <c r="B4" s="957"/>
      <c r="C4" s="957"/>
      <c r="D4" s="958"/>
      <c r="E4" s="957"/>
      <c r="F4" s="958"/>
      <c r="G4" s="30"/>
      <c r="H4" s="958"/>
      <c r="I4" s="31"/>
      <c r="J4" s="958"/>
    </row>
    <row r="5" spans="1:11" ht="18" customHeight="1">
      <c r="A5" s="1986" t="s">
        <v>1488</v>
      </c>
      <c r="B5" s="1987"/>
      <c r="C5" s="1987"/>
      <c r="D5" s="1987"/>
      <c r="E5" s="1987"/>
      <c r="F5" s="30"/>
      <c r="G5" s="32"/>
      <c r="H5" s="30"/>
      <c r="I5" s="30"/>
      <c r="J5" s="30"/>
      <c r="K5" s="30"/>
    </row>
    <row r="6" spans="1:11" ht="18" customHeight="1">
      <c r="A6" s="1965" t="s">
        <v>1527</v>
      </c>
      <c r="B6" s="958"/>
      <c r="C6" s="958"/>
      <c r="D6" s="958"/>
      <c r="E6" s="958"/>
      <c r="F6" s="958"/>
      <c r="G6" s="30"/>
      <c r="H6" s="958"/>
      <c r="I6" s="30"/>
      <c r="J6" s="958"/>
      <c r="K6" s="30"/>
    </row>
    <row r="7" spans="1:11" ht="18" customHeight="1">
      <c r="A7" s="959" t="s">
        <v>226</v>
      </c>
      <c r="B7" s="958"/>
      <c r="C7" s="958"/>
      <c r="D7" s="958"/>
      <c r="E7" s="958"/>
      <c r="F7" s="958"/>
      <c r="G7" s="30"/>
      <c r="H7" s="958"/>
      <c r="I7" s="30"/>
      <c r="J7" s="958"/>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1"/>
      <c r="B11" s="36"/>
      <c r="C11" s="2062" t="s">
        <v>227</v>
      </c>
      <c r="D11" s="2062"/>
      <c r="E11" s="2062"/>
      <c r="F11" s="2062"/>
      <c r="G11" s="2062"/>
      <c r="H11" s="2062"/>
      <c r="I11" s="2062"/>
      <c r="J11" s="1004"/>
      <c r="K11" s="1223"/>
    </row>
    <row r="12" spans="1:11" ht="15.75">
      <c r="A12" s="291"/>
      <c r="B12" s="36"/>
      <c r="C12" s="36"/>
      <c r="D12" s="36"/>
      <c r="E12" s="36"/>
      <c r="F12" s="36"/>
      <c r="G12" s="36"/>
      <c r="H12" s="36"/>
      <c r="I12" s="37" t="s">
        <v>228</v>
      </c>
      <c r="J12" s="36"/>
      <c r="K12" s="37" t="s">
        <v>228</v>
      </c>
    </row>
    <row r="13" spans="1:11" ht="15.75">
      <c r="A13" s="291"/>
      <c r="B13" s="36"/>
      <c r="C13" s="36"/>
      <c r="D13" s="36"/>
      <c r="E13" s="36"/>
      <c r="F13" s="36"/>
      <c r="G13" s="36"/>
      <c r="H13" s="36"/>
      <c r="I13" s="37" t="s">
        <v>229</v>
      </c>
      <c r="J13" s="36"/>
      <c r="K13" s="37" t="s">
        <v>229</v>
      </c>
    </row>
    <row r="14" spans="1:11" ht="15.75">
      <c r="A14" s="291" t="s">
        <v>230</v>
      </c>
      <c r="B14" s="36"/>
      <c r="C14" s="38" t="s">
        <v>231</v>
      </c>
      <c r="D14" s="36"/>
      <c r="E14" s="37" t="s">
        <v>232</v>
      </c>
      <c r="F14" s="36"/>
      <c r="G14" s="36"/>
      <c r="H14" s="36"/>
      <c r="I14" s="37" t="s">
        <v>233</v>
      </c>
      <c r="J14" s="36"/>
      <c r="K14" s="37" t="s">
        <v>233</v>
      </c>
    </row>
    <row r="15" spans="1:11" ht="15.75">
      <c r="A15" s="291"/>
      <c r="B15" s="36"/>
      <c r="C15" s="37" t="s">
        <v>234</v>
      </c>
      <c r="D15" s="36"/>
      <c r="E15" s="37" t="s">
        <v>234</v>
      </c>
      <c r="F15" s="36"/>
      <c r="G15" s="36"/>
      <c r="H15" s="36"/>
      <c r="I15" s="37" t="s">
        <v>231</v>
      </c>
      <c r="J15" s="36"/>
      <c r="K15" s="37" t="s">
        <v>232</v>
      </c>
    </row>
    <row r="16" spans="1:11" ht="15.75">
      <c r="A16" s="291"/>
      <c r="B16" s="36"/>
      <c r="C16" s="37" t="s">
        <v>235</v>
      </c>
      <c r="D16" s="36"/>
      <c r="E16" s="37" t="s">
        <v>1491</v>
      </c>
      <c r="F16" s="36"/>
      <c r="G16" s="38" t="s">
        <v>228</v>
      </c>
      <c r="H16" s="36"/>
      <c r="I16" s="37" t="s">
        <v>236</v>
      </c>
      <c r="J16" s="36"/>
      <c r="K16" s="37" t="s">
        <v>236</v>
      </c>
    </row>
    <row r="17" spans="1:13">
      <c r="A17" s="39"/>
      <c r="B17" s="30"/>
      <c r="C17" s="1005"/>
      <c r="D17" s="30"/>
      <c r="E17" s="1005"/>
      <c r="F17" s="30"/>
      <c r="G17" s="1005"/>
      <c r="H17" s="30"/>
      <c r="I17" s="1005"/>
      <c r="J17" s="30"/>
      <c r="K17" s="1005"/>
    </row>
    <row r="18" spans="1:13" ht="15.75">
      <c r="A18" s="3" t="s">
        <v>114</v>
      </c>
      <c r="B18" s="256"/>
      <c r="C18" s="256"/>
      <c r="D18" s="256"/>
      <c r="E18" s="256"/>
      <c r="F18" s="256"/>
      <c r="G18" s="256"/>
      <c r="H18" s="256"/>
      <c r="I18" s="256"/>
      <c r="J18" s="256"/>
      <c r="K18" s="256"/>
    </row>
    <row r="19" spans="1:13" ht="15" customHeight="1">
      <c r="A19" s="350" t="s">
        <v>237</v>
      </c>
      <c r="B19" s="378" t="s">
        <v>103</v>
      </c>
      <c r="C19" s="680"/>
      <c r="D19" s="378"/>
      <c r="E19" s="680"/>
      <c r="F19" s="378"/>
      <c r="G19" s="379"/>
      <c r="H19" s="378"/>
      <c r="I19" s="379"/>
      <c r="J19" s="378"/>
      <c r="K19" s="379"/>
    </row>
    <row r="20" spans="1:13">
      <c r="A20" s="350" t="s">
        <v>238</v>
      </c>
      <c r="B20" s="378" t="s">
        <v>103</v>
      </c>
      <c r="C20" s="274">
        <f>'Exh D General Fund'!C20+'Exh D Special Revenue'!C20+'Exh D Debt Service'!C20</f>
        <v>20232</v>
      </c>
      <c r="D20" s="276"/>
      <c r="E20" s="274">
        <f>+'Exh D General Fund'!E20+'Exh D Special Revenue'!E20+'Exh D Debt Service'!E20</f>
        <v>0</v>
      </c>
      <c r="F20" s="276"/>
      <c r="G20" s="274">
        <f>+'Exh D General Fund'!G20+'Exh D Special Revenue'!G20+'Exh D Debt Service'!G20</f>
        <v>20886.2</v>
      </c>
      <c r="H20" s="276"/>
      <c r="I20" s="274">
        <f>G20-C20</f>
        <v>654.20000000000073</v>
      </c>
      <c r="J20" s="276"/>
      <c r="K20" s="274">
        <v>0</v>
      </c>
      <c r="M20" s="425"/>
    </row>
    <row r="21" spans="1:13">
      <c r="A21" s="350" t="s">
        <v>239</v>
      </c>
      <c r="B21" s="256" t="s">
        <v>103</v>
      </c>
      <c r="C21" s="264">
        <f>+'Exh D General Fund'!C21+'Exh D Debt Service'!C21+'Exh D Special Revenue'!C21+'Exh D Capital Projects'!C20</f>
        <v>6073</v>
      </c>
      <c r="D21" s="264"/>
      <c r="E21" s="264">
        <f>+'Exh D General Fund'!E21+'Exh D Special Revenue'!E21+'Exh D Debt Service'!E21+'Exh D Capital Projects'!E20</f>
        <v>0</v>
      </c>
      <c r="F21" s="264"/>
      <c r="G21" s="264">
        <f>+'Exh D General Fund'!G21+'Exh D Special Revenue'!G21+'Exh D Debt Service'!G21+'Exh D Capital Projects'!G20</f>
        <v>6199.9000000000005</v>
      </c>
      <c r="H21" s="264"/>
      <c r="I21" s="264">
        <f t="shared" ref="I21:I25" si="0">G21-C21</f>
        <v>126.90000000000055</v>
      </c>
      <c r="J21" s="264"/>
      <c r="K21" s="264">
        <v>0</v>
      </c>
      <c r="M21" s="425"/>
    </row>
    <row r="22" spans="1:13" ht="15" customHeight="1">
      <c r="A22" s="350" t="s">
        <v>240</v>
      </c>
      <c r="B22" s="378" t="s">
        <v>103</v>
      </c>
      <c r="C22" s="264">
        <f>+'Exh D General Fund'!C22+'Exh D Special Revenue'!C22+'Exh D Capital Projects'!C21+'Exh D Debt Service'!C22</f>
        <v>7800</v>
      </c>
      <c r="D22" s="287"/>
      <c r="E22" s="264">
        <f>+'Exh D General Fund'!E22+'Exh D Special Revenue'!E22+'Exh D Capital Projects'!E21+'Exh D Debt Service'!E22</f>
        <v>0</v>
      </c>
      <c r="F22" s="287"/>
      <c r="G22" s="264">
        <f>+'Exh D General Fund'!G22+'Exh D Special Revenue'!G22+'Exh D Capital Projects'!G21+'Exh D Debt Service'!G22</f>
        <v>9418.7999999999993</v>
      </c>
      <c r="H22" s="287"/>
      <c r="I22" s="264">
        <f t="shared" si="0"/>
        <v>1618.7999999999993</v>
      </c>
      <c r="J22" s="287"/>
      <c r="K22" s="264">
        <v>0</v>
      </c>
      <c r="M22" s="425"/>
    </row>
    <row r="23" spans="1:13" ht="14.25" customHeight="1">
      <c r="A23" s="350" t="s">
        <v>241</v>
      </c>
      <c r="B23" s="256" t="s">
        <v>103</v>
      </c>
      <c r="C23" s="264">
        <f>+'Exh D General Fund'!C23+'Exh D Capital Projects'!C22+'Exh D Debt Service'!C23</f>
        <v>753</v>
      </c>
      <c r="D23" s="264"/>
      <c r="E23" s="264">
        <f>+'Exh D General Fund'!E23+'Exh D Debt Service'!E23+'Exh D Capital Projects'!E22</f>
        <v>0</v>
      </c>
      <c r="F23" s="264"/>
      <c r="G23" s="264">
        <f>+'Exh D General Fund'!G23+'Exh D Debt Service'!G23+'Exh D Capital Projects'!G22</f>
        <v>724.40000000000009</v>
      </c>
      <c r="H23" s="264"/>
      <c r="I23" s="264">
        <f t="shared" si="0"/>
        <v>-28.599999999999909</v>
      </c>
      <c r="J23" s="264"/>
      <c r="K23" s="264">
        <v>0</v>
      </c>
      <c r="L23" s="425"/>
      <c r="M23" s="425"/>
    </row>
    <row r="24" spans="1:13">
      <c r="A24" s="350" t="s">
        <v>119</v>
      </c>
      <c r="B24" s="256" t="s">
        <v>103</v>
      </c>
      <c r="C24" s="264">
        <f>+'Exh D General Fund'!C24+'Exh D Special Revenue'!C23+'Exh D Debt Service'!C24+'Exh D Capital Projects'!C23</f>
        <v>10669</v>
      </c>
      <c r="D24" s="264"/>
      <c r="E24" s="264">
        <f>+'Exh D General Fund'!E24+'Exh D Special Revenue'!E23+'Exh D Debt Service'!E24+'Exh D Capital Projects'!E23</f>
        <v>0</v>
      </c>
      <c r="F24" s="264"/>
      <c r="G24" s="264">
        <f>+'Exh D General Fund'!G24+'Exh D Special Revenue'!G23+'Exh D Debt Service'!G24+'Exh D Capital Projects'!G23</f>
        <v>10993</v>
      </c>
      <c r="H24" s="264"/>
      <c r="I24" s="264">
        <f t="shared" si="0"/>
        <v>324</v>
      </c>
      <c r="J24" s="264"/>
      <c r="K24" s="264">
        <v>0</v>
      </c>
      <c r="M24" s="425"/>
    </row>
    <row r="25" spans="1:13" ht="15" customHeight="1">
      <c r="A25" s="350" t="s">
        <v>120</v>
      </c>
      <c r="B25" s="256" t="s">
        <v>103</v>
      </c>
      <c r="C25" s="288">
        <f>+'Exh D General Fund'!C25+'Exh D Debt Service'!C25+'Exh D Special Revenue'!C24+'Exh D Capital Projects'!C24</f>
        <v>27517</v>
      </c>
      <c r="D25" s="264"/>
      <c r="E25" s="288">
        <f>+'Exh D General Fund'!E25+'Exh D Special Revenue'!E24+'Exh D Debt Service'!E25+'Exh D Capital Projects'!E24</f>
        <v>0</v>
      </c>
      <c r="F25" s="264"/>
      <c r="G25" s="288">
        <f>+'Exh D General Fund'!G25+'Exh D Special Revenue'!G24+'Exh D Debt Service'!G25+'Exh D Capital Projects'!G24</f>
        <v>29932.699999999997</v>
      </c>
      <c r="H25" s="264"/>
      <c r="I25" s="264">
        <f t="shared" si="0"/>
        <v>2415.6999999999971</v>
      </c>
      <c r="J25" s="264"/>
      <c r="K25" s="264">
        <v>0</v>
      </c>
      <c r="M25" s="425"/>
    </row>
    <row r="26" spans="1:13" ht="15.75">
      <c r="A26" s="1216" t="s">
        <v>242</v>
      </c>
      <c r="B26" s="36" t="s">
        <v>103</v>
      </c>
      <c r="C26" s="617">
        <f>ROUND(SUM(C20:C25),1)</f>
        <v>73044</v>
      </c>
      <c r="D26" s="13"/>
      <c r="E26" s="617">
        <f>ROUND(SUM(E20:E25),1)</f>
        <v>0</v>
      </c>
      <c r="F26" s="13"/>
      <c r="G26" s="617">
        <f>ROUND(SUM(G20:G25),1)</f>
        <v>78155</v>
      </c>
      <c r="H26" s="13"/>
      <c r="I26" s="617">
        <f>ROUND(SUM(I20:I25),1)</f>
        <v>5111</v>
      </c>
      <c r="J26" s="13"/>
      <c r="K26" s="617">
        <f>ROUND(SUM(K20:K25),1)</f>
        <v>0</v>
      </c>
      <c r="M26" s="425"/>
    </row>
    <row r="27" spans="1:13">
      <c r="A27" s="291"/>
      <c r="B27" s="256" t="s">
        <v>103</v>
      </c>
      <c r="C27" s="615"/>
      <c r="D27" s="264"/>
      <c r="E27" s="615"/>
      <c r="F27" s="264"/>
      <c r="G27" s="615"/>
      <c r="H27" s="264"/>
      <c r="I27" s="615"/>
      <c r="J27" s="264"/>
      <c r="K27" s="615"/>
      <c r="M27" s="425"/>
    </row>
    <row r="28" spans="1:13" ht="15.75">
      <c r="A28" s="3" t="s">
        <v>122</v>
      </c>
      <c r="B28" s="256" t="s">
        <v>103</v>
      </c>
      <c r="C28" s="264"/>
      <c r="D28" s="264"/>
      <c r="E28" s="264"/>
      <c r="F28" s="264"/>
      <c r="G28" s="264"/>
      <c r="H28" s="264"/>
      <c r="I28" s="264"/>
      <c r="J28" s="264"/>
      <c r="K28" s="264"/>
      <c r="M28" s="425"/>
    </row>
    <row r="29" spans="1:13">
      <c r="A29" s="350" t="s">
        <v>243</v>
      </c>
      <c r="B29" s="256" t="s">
        <v>103</v>
      </c>
      <c r="C29" s="288">
        <f>+'Exh D General Fund'!C34+'Exh D Special Revenue'!C29+'Exh D Capital Projects'!C30</f>
        <v>53607</v>
      </c>
      <c r="D29" s="264"/>
      <c r="E29" s="288">
        <f>+'Exh D General Fund'!E34+'Exh D Special Revenue'!E29+'Exh D Capital Projects'!E30</f>
        <v>0</v>
      </c>
      <c r="F29" s="264"/>
      <c r="G29" s="288">
        <f>+'Exh D General Fund'!G34+'Exh D Special Revenue'!G29+'Exh D Capital Projects'!G30</f>
        <v>52348.5</v>
      </c>
      <c r="H29" s="264"/>
      <c r="I29" s="264">
        <f t="shared" ref="I29:I33" si="1">G29-C29</f>
        <v>-1258.5</v>
      </c>
      <c r="J29" s="264"/>
      <c r="K29" s="264">
        <v>0</v>
      </c>
      <c r="M29" s="425"/>
    </row>
    <row r="30" spans="1:13">
      <c r="A30" s="350" t="s">
        <v>244</v>
      </c>
      <c r="B30" s="256" t="s">
        <v>103</v>
      </c>
      <c r="C30" s="287">
        <f>+'Exh D General Fund'!C35+'Exh D Special Revenue'!C30+'Exh D Debt Service'!C30</f>
        <v>6809</v>
      </c>
      <c r="D30" s="264"/>
      <c r="E30" s="287">
        <f>+'Exh D General Fund'!E35+'Exh D Special Revenue'!E30+'Exh D Debt Service'!E30</f>
        <v>0</v>
      </c>
      <c r="F30" s="264"/>
      <c r="G30" s="287">
        <f>+'Exh D General Fund'!G35+'Exh D Special Revenue'!G30+'Exh D Debt Service'!G30</f>
        <v>6903.2999999999993</v>
      </c>
      <c r="H30" s="264"/>
      <c r="I30" s="264">
        <f t="shared" si="1"/>
        <v>94.299999999999272</v>
      </c>
      <c r="J30" s="264"/>
      <c r="K30" s="264">
        <v>0</v>
      </c>
      <c r="M30" s="425"/>
    </row>
    <row r="31" spans="1:13">
      <c r="A31" s="350" t="s">
        <v>209</v>
      </c>
      <c r="B31" s="256" t="s">
        <v>103</v>
      </c>
      <c r="C31" s="288">
        <f>+'Exh D General Fund'!C36+'Exh D Special Revenue'!C31</f>
        <v>2860</v>
      </c>
      <c r="D31" s="264"/>
      <c r="E31" s="288">
        <f>+'Exh D General Fund'!E36+'Exh D Special Revenue'!E31</f>
        <v>0</v>
      </c>
      <c r="F31" s="264"/>
      <c r="G31" s="288">
        <f>+'Exh D General Fund'!G36+'Exh D Special Revenue'!G31</f>
        <v>2763.2000000000003</v>
      </c>
      <c r="H31" s="264"/>
      <c r="I31" s="264">
        <f t="shared" si="1"/>
        <v>-96.799999999999727</v>
      </c>
      <c r="J31" s="264"/>
      <c r="K31" s="264">
        <v>0</v>
      </c>
      <c r="M31" s="425"/>
    </row>
    <row r="32" spans="1:13">
      <c r="A32" s="350" t="s">
        <v>245</v>
      </c>
      <c r="B32" s="256" t="s">
        <v>103</v>
      </c>
      <c r="C32" s="287">
        <f>+'Exh D Debt Service'!C31+'Exh D Special Revenue'!C32</f>
        <v>15</v>
      </c>
      <c r="D32" s="264"/>
      <c r="E32" s="287">
        <f>+'Exh D Debt Service'!E31+'Exh D Special Revenue'!E32</f>
        <v>0</v>
      </c>
      <c r="F32" s="264"/>
      <c r="G32" s="287">
        <f>+'Exh D Debt Service'!G31+'Exh D Special Revenue'!K32</f>
        <v>15</v>
      </c>
      <c r="H32" s="264"/>
      <c r="I32" s="264">
        <f t="shared" si="1"/>
        <v>0</v>
      </c>
      <c r="J32" s="264"/>
      <c r="K32" s="264">
        <v>0</v>
      </c>
      <c r="M32" s="425"/>
    </row>
    <row r="33" spans="1:14" ht="15" customHeight="1">
      <c r="A33" s="350" t="s">
        <v>140</v>
      </c>
      <c r="B33" s="256" t="s">
        <v>103</v>
      </c>
      <c r="C33" s="288">
        <f>+'Exh D Special Revenue'!C33+'Exh D Capital Projects'!C31</f>
        <v>2481</v>
      </c>
      <c r="D33" s="264"/>
      <c r="E33" s="288">
        <f>+'Exh D Special Revenue'!E33+'Exh D Capital Projects'!E31</f>
        <v>0</v>
      </c>
      <c r="F33" s="264"/>
      <c r="G33" s="288">
        <f>+'Exh D Special Revenue'!G33+'Exh D Capital Projects'!G31</f>
        <v>2291.8000000000002</v>
      </c>
      <c r="H33" s="264"/>
      <c r="I33" s="264">
        <f t="shared" si="1"/>
        <v>-189.19999999999982</v>
      </c>
      <c r="J33" s="264"/>
      <c r="K33" s="264">
        <v>0</v>
      </c>
      <c r="M33" s="425"/>
    </row>
    <row r="34" spans="1:14" ht="15.75" customHeight="1">
      <c r="A34" s="1216" t="s">
        <v>246</v>
      </c>
      <c r="B34" s="36" t="s">
        <v>103</v>
      </c>
      <c r="C34" s="616">
        <f>ROUND(SUM(C29:C33),1)</f>
        <v>65772</v>
      </c>
      <c r="D34" s="13"/>
      <c r="E34" s="616">
        <f>ROUND(SUM(E29:E33),1)</f>
        <v>0</v>
      </c>
      <c r="F34" s="13"/>
      <c r="G34" s="616">
        <f>ROUND(SUM(G29:G33),1)</f>
        <v>64321.8</v>
      </c>
      <c r="H34" s="13"/>
      <c r="I34" s="616">
        <f>ROUND(SUM(I29:I33),1)</f>
        <v>-1450.2</v>
      </c>
      <c r="J34" s="13"/>
      <c r="K34" s="616">
        <f>ROUND(SUM(K29:K33),1)</f>
        <v>0</v>
      </c>
      <c r="M34" s="425"/>
    </row>
    <row r="35" spans="1:14">
      <c r="A35" s="291"/>
      <c r="B35" s="256"/>
      <c r="C35" s="264"/>
      <c r="D35" s="264"/>
      <c r="E35" s="264"/>
      <c r="F35" s="264"/>
      <c r="G35" s="264"/>
      <c r="H35" s="264"/>
      <c r="I35" s="264"/>
      <c r="J35" s="264"/>
      <c r="K35" s="264"/>
      <c r="M35" s="425"/>
    </row>
    <row r="36" spans="1:14" ht="15.75">
      <c r="A36" s="1216" t="s">
        <v>143</v>
      </c>
      <c r="B36" s="256"/>
      <c r="C36" s="264"/>
      <c r="D36" s="264"/>
      <c r="E36" s="264"/>
      <c r="F36" s="264"/>
      <c r="G36" s="264"/>
      <c r="H36" s="264"/>
      <c r="I36" s="264"/>
      <c r="J36" s="264"/>
      <c r="K36" s="264"/>
      <c r="M36" s="425"/>
    </row>
    <row r="37" spans="1:14" ht="15.75">
      <c r="A37" s="1216" t="s">
        <v>144</v>
      </c>
      <c r="B37" s="256" t="s">
        <v>103</v>
      </c>
      <c r="C37" s="357">
        <f>ROUND(SUM(+C26-C34),1)</f>
        <v>7272</v>
      </c>
      <c r="D37" s="264"/>
      <c r="E37" s="357">
        <f>ROUND(SUM(+E26-E34),1)</f>
        <v>0</v>
      </c>
      <c r="F37" s="264"/>
      <c r="G37" s="357">
        <f>ROUND(SUM(+G26-G34),1)</f>
        <v>13833.2</v>
      </c>
      <c r="H37" s="264"/>
      <c r="I37" s="357">
        <f>ROUND(SUM(+I26-I34),1)</f>
        <v>6561.2</v>
      </c>
      <c r="J37" s="264"/>
      <c r="K37" s="357">
        <f>ROUND(SUM(+K26-K34),1)</f>
        <v>0</v>
      </c>
      <c r="M37" s="425"/>
    </row>
    <row r="38" spans="1:14">
      <c r="A38" s="291"/>
      <c r="B38" s="256"/>
      <c r="C38" s="264"/>
      <c r="D38" s="264"/>
      <c r="E38" s="264"/>
      <c r="F38" s="264"/>
      <c r="G38" s="264"/>
      <c r="H38" s="264"/>
      <c r="I38" s="264"/>
      <c r="J38" s="264"/>
      <c r="K38" s="264"/>
      <c r="M38" s="425"/>
    </row>
    <row r="39" spans="1:14" ht="15.75">
      <c r="A39" s="1216" t="s">
        <v>145</v>
      </c>
      <c r="B39" s="256"/>
      <c r="C39" s="264"/>
      <c r="D39" s="264"/>
      <c r="E39" s="264"/>
      <c r="F39" s="264"/>
      <c r="G39" s="264"/>
      <c r="H39" s="264"/>
      <c r="I39" s="264"/>
      <c r="J39" s="264"/>
      <c r="K39" s="264"/>
      <c r="M39" s="425"/>
      <c r="N39" s="291" t="s">
        <v>103</v>
      </c>
    </row>
    <row r="40" spans="1:14">
      <c r="A40" s="350" t="s">
        <v>247</v>
      </c>
      <c r="B40" s="256" t="s">
        <v>103</v>
      </c>
      <c r="C40" s="289">
        <f>'Exh D Captl Projects State Fed'!C25</f>
        <v>0</v>
      </c>
      <c r="D40" s="264"/>
      <c r="E40" s="289">
        <f>'Exh D Captl Projects State Fed'!E25</f>
        <v>0</v>
      </c>
      <c r="F40" s="264"/>
      <c r="G40" s="289">
        <f>'Exh D Captl Projects State Fed'!G25</f>
        <v>0</v>
      </c>
      <c r="H40" s="264"/>
      <c r="I40" s="264">
        <f t="shared" ref="I40:I42" si="2">G40-C40</f>
        <v>0</v>
      </c>
      <c r="J40" s="264"/>
      <c r="K40" s="264">
        <f t="shared" ref="K40" si="3">G40-E40</f>
        <v>0</v>
      </c>
      <c r="M40" s="425"/>
    </row>
    <row r="41" spans="1:14">
      <c r="A41" s="350" t="s">
        <v>147</v>
      </c>
      <c r="B41" s="256" t="s">
        <v>103</v>
      </c>
      <c r="C41" s="287">
        <f>+'Exh D General Fund'!C27+'Exh D General Fund'!C28+'Exh D General Fund'!C29+'Exh D General Fund'!C30+'Exh D Special Revenue'!C25+'Exh D Debt Service'!C26+'Exh D Capital Projects'!C26</f>
        <v>17074</v>
      </c>
      <c r="D41" s="264"/>
      <c r="E41" s="287">
        <f>+'Exh D General Fund'!E27+'Exh D General Fund'!E28+'Exh D General Fund'!E29+'Exh D General Fund'!E30+'Exh D Special Revenue'!E25+'Exh D Debt Service'!E26+'Exh D Capital Projects'!E26</f>
        <v>0</v>
      </c>
      <c r="F41" s="264"/>
      <c r="G41" s="287">
        <f>+'Exh D General Fund'!G27+'Exh D General Fund'!G28+'Exh D General Fund'!G29+'Exh D General Fund'!G30+'Exh D Special Revenue'!K25+'Exh D Debt Service'!G26+'Exh D Capital Projects'!K26</f>
        <v>17875.600000000002</v>
      </c>
      <c r="H41" s="264"/>
      <c r="I41" s="264">
        <f t="shared" si="2"/>
        <v>801.60000000000218</v>
      </c>
      <c r="J41" s="264"/>
      <c r="K41" s="264">
        <v>0</v>
      </c>
      <c r="M41" s="425"/>
    </row>
    <row r="42" spans="1:14">
      <c r="A42" s="350" t="s">
        <v>248</v>
      </c>
      <c r="B42" s="256" t="s">
        <v>103</v>
      </c>
      <c r="C42" s="381">
        <f>-(+'Exh D General Fund'!C38+'Exh D General Fund'!C39+'Exh D General Fund'!C40+'Exh D General Fund'!C41+'Exh D General Fund'!C42+'Exh D Special Revenue'!C34+'Exh D Debt Service'!C32+'Exh D Capital Projects'!C32)</f>
        <v>-17111</v>
      </c>
      <c r="D42" s="264"/>
      <c r="E42" s="381">
        <f>-(+'Exh D General Fund'!E38+'Exh D General Fund'!E39+'Exh D General Fund'!E40+'Exh D General Fund'!E41+'Exh D General Fund'!E42+'Exh D Special Revenue'!E34+'Exh D Debt Service'!E32+'Exh D Capital Projects'!E32)</f>
        <v>0</v>
      </c>
      <c r="F42" s="264"/>
      <c r="G42" s="381">
        <f>-(+'Exh D General Fund'!G38+'Exh D General Fund'!G39+'Exh D General Fund'!G40+'Exh D General Fund'!G41+'Exh D General Fund'!G42+'Exh D Special Revenue'!K34+'Exh D Debt Service'!G32+'Exh D Capital Projects'!K32)</f>
        <v>-17917</v>
      </c>
      <c r="H42" s="264"/>
      <c r="I42" s="264">
        <f t="shared" si="2"/>
        <v>-806</v>
      </c>
      <c r="J42" s="264"/>
      <c r="K42" s="264">
        <v>0</v>
      </c>
      <c r="M42" s="425"/>
    </row>
    <row r="43" spans="1:14" ht="15.75">
      <c r="A43" s="1216" t="s">
        <v>249</v>
      </c>
      <c r="B43" s="256" t="s">
        <v>103</v>
      </c>
      <c r="C43" s="984">
        <f>ROUND(+SUM(C40)+C41+C42,1)</f>
        <v>-37</v>
      </c>
      <c r="D43" s="264"/>
      <c r="E43" s="984">
        <f>ROUND(+SUM(E40)+E41+E42,1)</f>
        <v>0</v>
      </c>
      <c r="F43" s="264"/>
      <c r="G43" s="984">
        <f>ROUND(+SUM(G40)+G41+G42,1)</f>
        <v>-41.4</v>
      </c>
      <c r="H43" s="264"/>
      <c r="I43" s="997">
        <f>I40+I41+I42</f>
        <v>-4.3999999999978172</v>
      </c>
      <c r="J43" s="264"/>
      <c r="K43" s="997">
        <f>ROUND(SUM(K40+K41+K42),1)</f>
        <v>0</v>
      </c>
      <c r="M43" s="425"/>
    </row>
    <row r="44" spans="1:14" ht="15.75">
      <c r="A44" s="1216"/>
      <c r="B44" s="256"/>
      <c r="C44" s="287"/>
      <c r="D44" s="264"/>
      <c r="E44" s="287"/>
      <c r="F44" s="264"/>
      <c r="G44" s="287"/>
      <c r="H44" s="264"/>
      <c r="I44" s="287"/>
      <c r="J44" s="264"/>
      <c r="K44" s="287"/>
      <c r="M44" s="425"/>
    </row>
    <row r="45" spans="1:14" ht="15.75">
      <c r="A45" s="3" t="s">
        <v>250</v>
      </c>
      <c r="B45" s="256"/>
      <c r="C45" s="264"/>
      <c r="D45" s="264"/>
      <c r="E45" s="264"/>
      <c r="F45" s="264"/>
      <c r="G45" s="264"/>
      <c r="H45" s="264"/>
      <c r="I45" s="264"/>
      <c r="J45" s="264"/>
      <c r="K45" s="264"/>
      <c r="M45" s="425"/>
    </row>
    <row r="46" spans="1:14" ht="15" customHeight="1">
      <c r="A46" s="3" t="s">
        <v>251</v>
      </c>
      <c r="B46" s="256"/>
      <c r="C46" s="264"/>
      <c r="D46" s="264"/>
      <c r="E46" s="264"/>
      <c r="F46" s="264"/>
      <c r="G46" s="264"/>
      <c r="H46" s="264"/>
      <c r="I46" s="264"/>
      <c r="J46" s="264"/>
      <c r="K46" s="264"/>
      <c r="M46" s="425"/>
    </row>
    <row r="47" spans="1:14" ht="15.75">
      <c r="A47" s="1216" t="s">
        <v>252</v>
      </c>
      <c r="B47" s="42" t="s">
        <v>103</v>
      </c>
      <c r="C47" s="13">
        <f>ROUND(SUM(C26)-SUM(C34)+C43,1)</f>
        <v>7235</v>
      </c>
      <c r="D47" s="18"/>
      <c r="E47" s="13">
        <f>ROUND(SUM(E26)-SUM(E34)+E43,1)</f>
        <v>0</v>
      </c>
      <c r="F47" s="18"/>
      <c r="G47" s="13">
        <f>ROUND(SUM(G26)-SUM(G34)+G43,1)</f>
        <v>13791.8</v>
      </c>
      <c r="H47" s="18"/>
      <c r="I47" s="13">
        <f>ROUND(SUM(I26)-SUM(I34)+I43,1)</f>
        <v>6556.8</v>
      </c>
      <c r="J47" s="18"/>
      <c r="K47" s="13">
        <f>ROUND(SUM(K26)-SUM(K34)+K43,1)</f>
        <v>0</v>
      </c>
      <c r="M47" s="425"/>
    </row>
    <row r="48" spans="1:14" ht="15.75">
      <c r="A48" s="291"/>
      <c r="B48" s="256"/>
      <c r="C48" s="264"/>
      <c r="D48" s="264"/>
      <c r="E48" s="264"/>
      <c r="F48" s="264"/>
      <c r="G48" s="264"/>
      <c r="H48" s="264"/>
      <c r="I48" s="13" t="s">
        <v>103</v>
      </c>
      <c r="J48" s="264"/>
      <c r="K48" s="13" t="s">
        <v>103</v>
      </c>
      <c r="M48" s="425"/>
    </row>
    <row r="49" spans="1:13" ht="15.75">
      <c r="A49" s="1216" t="s">
        <v>253</v>
      </c>
      <c r="B49" s="384" t="s">
        <v>103</v>
      </c>
      <c r="C49" s="13">
        <f>'Exh D General Fund'!C49+'Exh D Special Revenue'!C41+'Exh D Debt Service'!C39+'Exh D Capital Projects'!C39</f>
        <v>75008</v>
      </c>
      <c r="D49" s="264"/>
      <c r="E49" s="13">
        <f>'Exh D General Fund'!E49+'Exh D Special Revenue'!E41+'Exh D Debt Service'!E39+'Exh D Capital Projects'!E39</f>
        <v>0</v>
      </c>
      <c r="F49" s="264"/>
      <c r="G49" s="13">
        <f>'Exh D General Fund'!G49+'Exh D Special Revenue'!G41+'Exh D Debt Service'!G39+'Exh D Capital Projects'!G39</f>
        <v>75007.799999999988</v>
      </c>
      <c r="H49" s="264"/>
      <c r="I49" s="13">
        <f t="shared" ref="I49" si="4">G49-C49</f>
        <v>-0.20000000001164153</v>
      </c>
      <c r="J49" s="264"/>
      <c r="K49" s="13">
        <v>0</v>
      </c>
      <c r="M49" s="425"/>
    </row>
    <row r="50" spans="1:13" ht="16.5" thickBot="1">
      <c r="A50" s="1216" t="str">
        <f>"Fund Balances (Deficits) at "&amp;PROPER(_xlfn.TEXTAFTER('Exh D Governmental  '!A6," ",4))</f>
        <v>Fund Balances (Deficits) at June 30, 2026</v>
      </c>
      <c r="B50" s="43" t="s">
        <v>103</v>
      </c>
      <c r="C50" s="674">
        <f>ROUND(SUM(C47:C49),1)</f>
        <v>82243</v>
      </c>
      <c r="D50" s="44"/>
      <c r="E50" s="674">
        <f>ROUND(SUM(E47:E49),1)</f>
        <v>0</v>
      </c>
      <c r="F50" s="44"/>
      <c r="G50" s="674">
        <f>ROUND(SUM(G47:G49),1)</f>
        <v>88799.6</v>
      </c>
      <c r="H50" s="44"/>
      <c r="I50" s="674">
        <f>ROUND(SUM(I47:I49),1)</f>
        <v>6556.6</v>
      </c>
      <c r="J50" s="44"/>
      <c r="K50" s="674">
        <f>ROUND(SUM(K47:K49),1)</f>
        <v>0</v>
      </c>
      <c r="M50" s="425"/>
    </row>
    <row r="51" spans="1:13" ht="15.75" thickTop="1">
      <c r="A51" s="291"/>
      <c r="B51" s="256"/>
      <c r="C51" s="256"/>
      <c r="D51" s="256"/>
      <c r="E51" s="256"/>
      <c r="F51" s="256"/>
      <c r="G51" s="256"/>
      <c r="H51" s="256"/>
      <c r="I51" s="256"/>
      <c r="J51" s="256"/>
      <c r="K51" s="256"/>
      <c r="M51" s="425"/>
    </row>
    <row r="52" spans="1:13">
      <c r="A52" s="678" t="s">
        <v>1516</v>
      </c>
      <c r="G52" s="425"/>
      <c r="K52" s="425"/>
      <c r="M52" s="425"/>
    </row>
    <row r="53" spans="1:13">
      <c r="A53" s="678"/>
      <c r="E53" s="972"/>
      <c r="G53" s="972"/>
      <c r="I53" s="972"/>
      <c r="K53" s="972"/>
    </row>
    <row r="54" spans="1:13">
      <c r="A54" s="678"/>
      <c r="G54" s="12"/>
    </row>
    <row r="55" spans="1:13" ht="15.75">
      <c r="A55" s="951"/>
      <c r="G55" s="425"/>
    </row>
    <row r="56" spans="1:13">
      <c r="A56" s="46"/>
    </row>
  </sheetData>
  <customSheetViews>
    <customSheetView guid="{83D69B98-1714-4D17-901F-87B47BE66947}" scale="85" showPageBreaks="1" showGridLines="0" fitToPage="1" printArea="1" topLeftCell="A29">
      <selection activeCell="C20" sqref="C20"/>
      <pageMargins left="0.7" right="0.7" top="0.75" bottom="1" header="0.5" footer="0.25"/>
      <printOptions horizontalCentered="1"/>
      <pageSetup scale="60" firstPageNumber="7" orientation="landscape" useFirstPageNumber="1" r:id="rId1"/>
      <headerFooter scaleWithDoc="0" alignWithMargins="0">
        <oddFooter>&amp;C&amp;8&amp;P</oddFooter>
      </headerFooter>
    </customSheetView>
    <customSheetView guid="{F9AE1502-86F7-4AAA-AE66-F6A75A634C1B}" scale="85" showPageBreaks="1" showGridLines="0" fitToPage="1" printArea="1" topLeftCell="A19">
      <selection activeCell="E20" sqref="E20"/>
      <pageMargins left="0.7" right="0.7" top="0.75" bottom="1" header="0.5" footer="0.25"/>
      <printOptions horizontalCentered="1"/>
      <pageSetup scale="10" firstPageNumber="7" orientation="landscape" useFirstPageNumber="1" r:id="rId2"/>
      <headerFooter scaleWithDoc="0" alignWithMargins="0">
        <oddFooter>&amp;C&amp;8&amp;P</oddFooter>
      </headerFooter>
    </customSheetView>
    <customSheetView guid="{C41E3923-0A88-49D0-AE43-0E74D386A056}" scale="85" showPageBreaks="1" showGridLines="0" fitToPage="1" printArea="1" topLeftCell="A19">
      <selection activeCell="E20" sqref="E20"/>
      <pageMargins left="0.7" right="0.7" top="0.75" bottom="1" header="0.5" footer="0.25"/>
      <printOptions horizontalCentered="1"/>
      <pageSetup scale="60" firstPageNumber="7" orientation="landscape" useFirstPageNumber="1" r:id="rId3"/>
      <headerFooter scaleWithDoc="0" alignWithMargins="0">
        <oddFooter>&amp;C&amp;8&amp;P</oddFooter>
      </headerFooter>
    </customSheetView>
    <customSheetView guid="{1DF171D7-3BFC-49F6-B708-0F91FCFAB6E2}" scale="85" showPageBreaks="1" showGridLines="0" fitToPage="1" printArea="1" topLeftCell="A8">
      <selection activeCell="E20" sqref="E20"/>
      <pageMargins left="0.7" right="0.7" top="0.75" bottom="1" header="0.5" footer="0.25"/>
      <printOptions horizontalCentered="1"/>
      <pageSetup scale="60" firstPageNumber="7" orientation="landscape" useFirstPageNumber="1" r:id="rId4"/>
      <headerFooter scaleWithDoc="0" alignWithMargins="0">
        <oddFooter>&amp;C&amp;8&amp;P</oddFooter>
      </headerFooter>
    </customSheetView>
    <customSheetView guid="{9F00D83C-7F4F-41B5-9976-8610D9EBC976}" scale="85" showPageBreaks="1" showGridLines="0" fitToPage="1" printArea="1" topLeftCell="A8">
      <selection activeCell="E20" sqref="E20"/>
      <pageMargins left="0.7" right="0.7" top="0.75" bottom="1" header="0.5" footer="0.25"/>
      <printOptions horizontalCentered="1"/>
      <pageSetup scale="60" firstPageNumber="7" orientation="landscape" useFirstPageNumber="1" r:id="rId5"/>
      <headerFooter scaleWithDoc="0" alignWithMargins="0">
        <oddFooter>&amp;C&amp;8&amp;P</oddFooter>
      </headerFooter>
    </customSheetView>
    <customSheetView guid="{D1467C25-646C-4F1A-9353-0E890E575522}" scale="85" showPageBreaks="1" showGridLines="0" fitToPage="1" printArea="1">
      <selection activeCell="A6" sqref="A6"/>
      <pageMargins left="0.7" right="0.7" top="0.75" bottom="1" header="0.5" footer="0.25"/>
      <printOptions horizontalCentered="1"/>
      <pageSetup scale="11" firstPageNumber="7" orientation="landscape" useFirstPageNumber="1" r:id="rId6"/>
      <headerFooter scaleWithDoc="0" alignWithMargins="0">
        <oddFooter>&amp;C&amp;8&amp;P</oddFooter>
      </headerFooter>
    </customSheetView>
    <customSheetView guid="{3A50DD26-AAF5-43D4-97DE-BAE3367A2F29}" scale="85" showPageBreaks="1" showGridLines="0" fitToPage="1" printArea="1" topLeftCell="A3">
      <selection activeCell="C16" sqref="C16:E16"/>
      <pageMargins left="0.7" right="0.7" top="0.75" bottom="1" header="0.5" footer="0.25"/>
      <printOptions horizontalCentered="1"/>
      <pageSetup scale="21" firstPageNumber="7" orientation="landscape" useFirstPageNumber="1" r:id="rId7"/>
      <headerFooter scaleWithDoc="0" alignWithMargins="0">
        <oddFooter>&amp;C&amp;8&amp;P</oddFooter>
      </headerFooter>
    </customSheetView>
    <customSheetView guid="{C3636880-B45B-4897-94F2-F91976416934}" scale="85" showPageBreaks="1" showGridLines="0" fitToPage="1" printArea="1" topLeftCell="A8">
      <selection activeCell="E20" sqref="E20"/>
      <pageMargins left="0.7" right="0.7" top="0.75" bottom="1" header="0.5" footer="0.25"/>
      <printOptions horizontalCentered="1"/>
      <pageSetup scale="62" firstPageNumber="7" orientation="landscape" useFirstPageNumber="1" r:id="rId8"/>
      <headerFooter scaleWithDoc="0" alignWithMargins="0">
        <oddFooter>&amp;C&amp;8&amp;P</oddFooter>
      </headerFooter>
    </customSheetView>
  </customSheetViews>
  <mergeCells count="1">
    <mergeCell ref="C11:I11"/>
  </mergeCells>
  <printOptions horizontalCentered="1"/>
  <pageMargins left="0.7" right="0.7" top="0.75" bottom="1" header="0.5" footer="0.25"/>
  <pageSetup scale="62" firstPageNumber="7" orientation="landscape" useFirstPageNumber="1" r:id="rId9"/>
  <headerFooter scaleWithDoc="0" alignWithMargins="0">
    <oddFooter>&amp;C&amp;8&amp;P</oddFooter>
  </headerFooter>
  <customProperties>
    <customPr name="SheetOptions" r:id="rId10"/>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3.88671875" style="23" bestFit="1" customWidth="1"/>
    <col min="9" max="9" width="15.109375" style="23" customWidth="1"/>
    <col min="10" max="10" width="1.88671875" style="23" customWidth="1"/>
    <col min="11" max="11" width="15.109375" style="23" customWidth="1"/>
    <col min="12" max="16384" width="8.88671875" style="23"/>
  </cols>
  <sheetData>
    <row r="1" spans="1:14">
      <c r="A1" s="377" t="s">
        <v>97</v>
      </c>
    </row>
    <row r="2" spans="1:14">
      <c r="A2" s="354"/>
    </row>
    <row r="3" spans="1:14" ht="18" customHeight="1">
      <c r="A3" s="28" t="s">
        <v>98</v>
      </c>
      <c r="B3" s="29"/>
      <c r="C3" s="29"/>
      <c r="D3" s="30"/>
      <c r="E3" s="29"/>
      <c r="F3" s="30"/>
      <c r="G3" s="30"/>
      <c r="H3" s="30"/>
      <c r="I3" s="30"/>
      <c r="J3" s="30"/>
      <c r="K3" s="31" t="s">
        <v>224</v>
      </c>
    </row>
    <row r="4" spans="1:14" ht="18" customHeight="1">
      <c r="A4" s="28" t="s">
        <v>225</v>
      </c>
      <c r="B4" s="29"/>
      <c r="C4" s="29"/>
      <c r="D4" s="30"/>
      <c r="E4" s="29"/>
      <c r="F4" s="30"/>
      <c r="G4" s="30"/>
      <c r="H4" s="30"/>
      <c r="I4" s="31"/>
      <c r="J4" s="30"/>
      <c r="K4" s="353"/>
    </row>
    <row r="5" spans="1:14" ht="18" customHeight="1">
      <c r="A5" s="65" t="str">
        <f>'Exh D Governmental  '!A5</f>
        <v>FISCAL YEAR 2026-2027</v>
      </c>
      <c r="F5" s="30"/>
      <c r="G5" s="32"/>
      <c r="H5" s="30"/>
      <c r="I5" s="353"/>
      <c r="J5" s="30"/>
    </row>
    <row r="6" spans="1:14" ht="18" customHeight="1">
      <c r="A6" s="50" t="str">
        <f>'Exh D Governmental  '!A6</f>
        <v>FOR THREE MONTHS ENDED JUNE 30, 2026</v>
      </c>
      <c r="B6" s="30"/>
      <c r="C6" s="30"/>
      <c r="D6" s="30"/>
      <c r="E6" s="30"/>
      <c r="F6" s="30"/>
      <c r="G6" s="30"/>
      <c r="H6" s="30"/>
      <c r="I6" s="30"/>
      <c r="J6" s="30"/>
      <c r="K6" s="30"/>
    </row>
    <row r="7" spans="1:14" ht="18" customHeight="1">
      <c r="A7" s="50" t="s">
        <v>226</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1"/>
      <c r="B11" s="36"/>
      <c r="C11" s="2062" t="s">
        <v>1496</v>
      </c>
      <c r="D11" s="2062"/>
      <c r="E11" s="2062"/>
      <c r="F11" s="2062"/>
      <c r="G11" s="2062"/>
      <c r="H11" s="2062"/>
      <c r="I11" s="2062"/>
      <c r="J11" s="1004"/>
      <c r="K11" s="1223"/>
      <c r="N11"/>
    </row>
    <row r="12" spans="1:14" ht="15.75">
      <c r="A12" s="291"/>
      <c r="B12" s="36"/>
      <c r="C12" s="36"/>
      <c r="D12" s="36"/>
      <c r="E12" s="36"/>
      <c r="F12" s="36"/>
      <c r="G12" s="36"/>
      <c r="H12" s="36"/>
      <c r="I12" s="37" t="s">
        <v>228</v>
      </c>
      <c r="J12" s="36"/>
      <c r="K12" s="37" t="s">
        <v>228</v>
      </c>
    </row>
    <row r="13" spans="1:14" ht="15.75">
      <c r="A13" s="291"/>
      <c r="B13" s="36"/>
      <c r="C13" s="36"/>
      <c r="D13" s="36"/>
      <c r="E13" s="36"/>
      <c r="F13" s="36"/>
      <c r="G13" s="36"/>
      <c r="H13" s="36"/>
      <c r="I13" s="37" t="s">
        <v>229</v>
      </c>
      <c r="J13" s="36"/>
      <c r="K13" s="37" t="s">
        <v>229</v>
      </c>
    </row>
    <row r="14" spans="1:14" ht="15.75">
      <c r="A14" s="291"/>
      <c r="B14" s="36"/>
      <c r="C14" s="38" t="s">
        <v>231</v>
      </c>
      <c r="D14" s="36"/>
      <c r="E14" s="37" t="s">
        <v>232</v>
      </c>
      <c r="F14" s="36"/>
      <c r="G14" s="36"/>
      <c r="H14" s="36"/>
      <c r="I14" s="37" t="s">
        <v>233</v>
      </c>
      <c r="J14" s="36"/>
      <c r="K14" s="37" t="s">
        <v>233</v>
      </c>
    </row>
    <row r="15" spans="1:14" ht="15.75">
      <c r="A15" s="291"/>
      <c r="B15" s="36"/>
      <c r="C15" s="37" t="s">
        <v>234</v>
      </c>
      <c r="D15" s="36"/>
      <c r="E15" s="37" t="s">
        <v>234</v>
      </c>
      <c r="F15" s="36"/>
      <c r="G15" s="36"/>
      <c r="H15" s="36"/>
      <c r="I15" s="37" t="s">
        <v>231</v>
      </c>
      <c r="J15" s="36"/>
      <c r="K15" s="37" t="s">
        <v>232</v>
      </c>
    </row>
    <row r="16" spans="1:14" ht="15.75">
      <c r="A16" s="291"/>
      <c r="B16" s="36"/>
      <c r="C16" s="37" t="s">
        <v>235</v>
      </c>
      <c r="D16" s="36"/>
      <c r="E16" s="37" t="s">
        <v>1491</v>
      </c>
      <c r="F16" s="36"/>
      <c r="G16" s="38" t="s">
        <v>228</v>
      </c>
      <c r="H16" s="36"/>
      <c r="I16" s="37" t="s">
        <v>236</v>
      </c>
      <c r="J16" s="36"/>
      <c r="K16" s="37" t="s">
        <v>236</v>
      </c>
    </row>
    <row r="17" spans="1:12">
      <c r="A17" s="39"/>
      <c r="B17" s="30"/>
      <c r="C17" s="1005"/>
      <c r="D17" s="30"/>
      <c r="E17" s="1005"/>
      <c r="F17" s="30"/>
      <c r="G17" s="1005"/>
      <c r="H17" s="30"/>
      <c r="I17" s="1005"/>
      <c r="J17" s="30"/>
      <c r="K17" s="1005"/>
    </row>
    <row r="18" spans="1:12" ht="15.75">
      <c r="A18" s="3" t="s">
        <v>114</v>
      </c>
      <c r="B18" s="256"/>
      <c r="C18" s="256"/>
      <c r="D18" s="256"/>
      <c r="E18" s="256"/>
      <c r="F18" s="256"/>
      <c r="G18" s="256"/>
      <c r="H18" s="256"/>
      <c r="I18" s="256"/>
      <c r="J18" s="256"/>
      <c r="K18" s="256"/>
    </row>
    <row r="19" spans="1:12" ht="15" customHeight="1">
      <c r="A19" s="350" t="s">
        <v>237</v>
      </c>
      <c r="B19" s="378" t="s">
        <v>103</v>
      </c>
      <c r="C19" s="680"/>
      <c r="D19" s="378"/>
      <c r="E19" s="680"/>
      <c r="F19" s="378"/>
      <c r="G19" s="379"/>
      <c r="H19" s="378"/>
      <c r="I19" s="379"/>
      <c r="J19" s="378"/>
      <c r="K19" s="379"/>
    </row>
    <row r="20" spans="1:12">
      <c r="A20" s="350" t="s">
        <v>238</v>
      </c>
      <c r="B20" s="378" t="s">
        <v>103</v>
      </c>
      <c r="C20" s="274">
        <f>'Exh D General Fund'!C20+'Exh D Special Revenue State Fed'!C20+'Exh D Debt Service'!C20</f>
        <v>20232</v>
      </c>
      <c r="D20" s="276"/>
      <c r="E20" s="274">
        <f>'Exh D General Fund'!E20+'Exh D Special Revenue State Fed'!E20+'Exh D Debt Service'!E20</f>
        <v>0</v>
      </c>
      <c r="F20" s="276"/>
      <c r="G20" s="274">
        <f>+'Exh A Supp'!T15</f>
        <v>20886.2</v>
      </c>
      <c r="H20" s="276"/>
      <c r="I20" s="274">
        <f>G20-C20</f>
        <v>654.20000000000073</v>
      </c>
      <c r="J20" s="276"/>
      <c r="K20" s="274">
        <v>0</v>
      </c>
    </row>
    <row r="21" spans="1:12">
      <c r="A21" s="350" t="s">
        <v>239</v>
      </c>
      <c r="B21" s="256" t="s">
        <v>103</v>
      </c>
      <c r="C21" s="264">
        <f>'Exh D General Fund'!C21+'Exh D Special Revenue State Fed'!C21+'Exh D Debt Service'!C21</f>
        <v>5920</v>
      </c>
      <c r="D21" s="264"/>
      <c r="E21" s="264">
        <f>'Exh D General Fund'!E21+'Exh D Special Revenue State Fed'!E21+'Exh D Debt Service'!E21</f>
        <v>0</v>
      </c>
      <c r="F21" s="264"/>
      <c r="G21" s="264">
        <f>+'Exh A Supp'!T16</f>
        <v>6049.6</v>
      </c>
      <c r="H21" s="264"/>
      <c r="I21" s="264">
        <f t="shared" ref="I21:I25" si="0">G21-C21</f>
        <v>129.60000000000036</v>
      </c>
      <c r="J21" s="264"/>
      <c r="K21" s="264">
        <v>0</v>
      </c>
    </row>
    <row r="22" spans="1:12" ht="15" customHeight="1">
      <c r="A22" s="350" t="s">
        <v>240</v>
      </c>
      <c r="B22" s="378" t="s">
        <v>103</v>
      </c>
      <c r="C22" s="264">
        <f>'Exh D General Fund'!C22+'Exh D Special Revenue State Fed'!C22+'Exh D Debt Service'!C22</f>
        <v>7666</v>
      </c>
      <c r="D22" s="287"/>
      <c r="E22" s="264">
        <f>'Exh D General Fund'!E22+'Exh D Special Revenue State Fed'!E22+'Exh D Debt Service'!E22</f>
        <v>0</v>
      </c>
      <c r="F22" s="287"/>
      <c r="G22" s="264">
        <f>+'Exh A Supp'!T17</f>
        <v>9279.9</v>
      </c>
      <c r="H22" s="287"/>
      <c r="I22" s="264">
        <f t="shared" si="0"/>
        <v>1613.8999999999996</v>
      </c>
      <c r="J22" s="287"/>
      <c r="K22" s="264">
        <v>0</v>
      </c>
    </row>
    <row r="23" spans="1:12" ht="14.25" customHeight="1">
      <c r="A23" s="350" t="s">
        <v>241</v>
      </c>
      <c r="B23" s="256" t="s">
        <v>103</v>
      </c>
      <c r="C23" s="264">
        <f>'Exh D General Fund'!C23+'Exh D Debt Service'!C23</f>
        <v>727</v>
      </c>
      <c r="D23" s="264"/>
      <c r="E23" s="264">
        <f>'Exh D General Fund'!E23+'Exh D Debt Service'!E23</f>
        <v>0</v>
      </c>
      <c r="F23" s="264"/>
      <c r="G23" s="264">
        <f>+'Exh A Supp'!T18</f>
        <v>698.7</v>
      </c>
      <c r="H23" s="264"/>
      <c r="I23" s="264">
        <f t="shared" si="0"/>
        <v>-28.299999999999955</v>
      </c>
      <c r="J23" s="264"/>
      <c r="K23" s="264">
        <v>0</v>
      </c>
    </row>
    <row r="24" spans="1:12">
      <c r="A24" s="350" t="s">
        <v>119</v>
      </c>
      <c r="B24" s="256" t="s">
        <v>103</v>
      </c>
      <c r="C24" s="264">
        <f>'Exh D General Fund'!C24+'Exh D Special Revenue State Fed'!C23+'Exh D Debt Service'!C24</f>
        <v>7959</v>
      </c>
      <c r="D24" s="264"/>
      <c r="E24" s="264">
        <f>'Exh D General Fund'!E24+'Exh D Special Revenue State Fed'!E23+'Exh D Debt Service'!E24</f>
        <v>0</v>
      </c>
      <c r="F24" s="264"/>
      <c r="G24" s="264">
        <f>+'Exh A Supp'!T19</f>
        <v>8265.7000000000007</v>
      </c>
      <c r="H24" s="264"/>
      <c r="I24" s="264">
        <f t="shared" si="0"/>
        <v>306.70000000000073</v>
      </c>
      <c r="J24" s="264"/>
      <c r="K24" s="264">
        <v>0</v>
      </c>
    </row>
    <row r="25" spans="1:12" ht="15" customHeight="1">
      <c r="A25" s="350" t="s">
        <v>120</v>
      </c>
      <c r="B25" s="256" t="s">
        <v>103</v>
      </c>
      <c r="C25" s="288">
        <f>'Exh D General Fund'!C25+'Exh D Special Revenue State Fed'!C24+'Exh D Debt Service'!C25</f>
        <v>27</v>
      </c>
      <c r="D25" s="264"/>
      <c r="E25" s="288">
        <f>'Exh D General Fund'!E25+'Exh D Special Revenue State Fed'!E24+'Exh D Debt Service'!E25</f>
        <v>0</v>
      </c>
      <c r="F25" s="264"/>
      <c r="G25" s="264">
        <f>+'Exh A Supp'!T20</f>
        <v>28.4</v>
      </c>
      <c r="H25" s="264"/>
      <c r="I25" s="264">
        <f t="shared" si="0"/>
        <v>1.3999999999999986</v>
      </c>
      <c r="J25" s="264"/>
      <c r="K25" s="264">
        <v>0</v>
      </c>
    </row>
    <row r="26" spans="1:12" ht="15.75">
      <c r="A26" s="1216" t="s">
        <v>242</v>
      </c>
      <c r="B26" s="36" t="s">
        <v>103</v>
      </c>
      <c r="C26" s="617">
        <f>ROUND(SUM(C20:C25),1)</f>
        <v>42531</v>
      </c>
      <c r="D26" s="13"/>
      <c r="E26" s="617">
        <f>ROUND(SUM(E20:E25),1)</f>
        <v>0</v>
      </c>
      <c r="F26" s="13"/>
      <c r="G26" s="617">
        <f>ROUND(SUM(G20:G25),1)</f>
        <v>45208.5</v>
      </c>
      <c r="H26" s="13"/>
      <c r="I26" s="617">
        <f>ROUND(SUM(I20:I25),1)</f>
        <v>2677.5</v>
      </c>
      <c r="J26" s="13"/>
      <c r="K26" s="617">
        <f>ROUND(SUM(K20:K25),1)</f>
        <v>0</v>
      </c>
      <c r="L26" s="12"/>
    </row>
    <row r="27" spans="1:12">
      <c r="A27" s="291"/>
      <c r="B27" s="256" t="s">
        <v>103</v>
      </c>
      <c r="C27" s="615"/>
      <c r="D27" s="264"/>
      <c r="E27" s="615"/>
      <c r="F27" s="264"/>
      <c r="G27" s="615"/>
      <c r="H27" s="264"/>
      <c r="I27" s="615"/>
      <c r="J27" s="264"/>
      <c r="K27" s="615"/>
    </row>
    <row r="28" spans="1:12" ht="15.75">
      <c r="A28" s="3" t="s">
        <v>122</v>
      </c>
      <c r="B28" s="256" t="s">
        <v>103</v>
      </c>
      <c r="C28" s="264"/>
      <c r="D28" s="264"/>
      <c r="E28" s="264"/>
      <c r="F28" s="264"/>
      <c r="G28" s="264"/>
      <c r="H28" s="264"/>
      <c r="I28" s="264"/>
      <c r="J28" s="264"/>
      <c r="K28" s="264"/>
    </row>
    <row r="29" spans="1:12">
      <c r="A29" s="350" t="s">
        <v>243</v>
      </c>
      <c r="B29" s="256" t="s">
        <v>103</v>
      </c>
      <c r="C29" s="288">
        <f>'Exh D General Fund'!C34+'Exh D Special Revenue State Fed'!C29</f>
        <v>27612</v>
      </c>
      <c r="D29" s="264"/>
      <c r="E29" s="288">
        <f>'Exh D General Fund'!E34+'Exh D Special Revenue State Fed'!E29</f>
        <v>0</v>
      </c>
      <c r="F29" s="264"/>
      <c r="G29" s="288">
        <f>+'Exh A Supp'!T35</f>
        <v>27254.9</v>
      </c>
      <c r="H29" s="264"/>
      <c r="I29" s="264">
        <f t="shared" ref="I29:I33" si="1">G29-C29</f>
        <v>-357.09999999999854</v>
      </c>
      <c r="J29" s="264"/>
      <c r="K29" s="264">
        <v>0</v>
      </c>
      <c r="L29" s="12"/>
    </row>
    <row r="30" spans="1:12">
      <c r="A30" s="350" t="s">
        <v>244</v>
      </c>
      <c r="B30" s="256" t="s">
        <v>103</v>
      </c>
      <c r="C30" s="287">
        <f>'Exh D General Fund'!C35+'Exh D Special Revenue State Fed'!C30+'Exh D Debt Service'!C30</f>
        <v>6304</v>
      </c>
      <c r="D30" s="264"/>
      <c r="E30" s="287">
        <f>'Exh D General Fund'!E35+'Exh D Special Revenue State Fed'!E30+'Exh D Debt Service'!E30</f>
        <v>0</v>
      </c>
      <c r="F30" s="264"/>
      <c r="G30" s="287">
        <f>+'Exh A Supp'!T37+'Exh A Supp'!T38</f>
        <v>6356.0999999999995</v>
      </c>
      <c r="H30" s="264"/>
      <c r="I30" s="264">
        <f t="shared" si="1"/>
        <v>52.099999999999454</v>
      </c>
      <c r="J30" s="264"/>
      <c r="K30" s="264">
        <v>0</v>
      </c>
      <c r="L30" s="12"/>
    </row>
    <row r="31" spans="1:12">
      <c r="A31" s="350" t="s">
        <v>209</v>
      </c>
      <c r="B31" s="256" t="s">
        <v>103</v>
      </c>
      <c r="C31" s="288">
        <f>'Exh D General Fund'!C36+'Exh D Special Revenue State Fed'!C31</f>
        <v>2820</v>
      </c>
      <c r="D31" s="264"/>
      <c r="E31" s="288">
        <f>'Exh D General Fund'!E36+'Exh D Special Revenue State Fed'!E31</f>
        <v>0</v>
      </c>
      <c r="F31" s="264"/>
      <c r="G31" s="288">
        <f>+'Exh A Supp'!T39</f>
        <v>2668</v>
      </c>
      <c r="H31" s="264"/>
      <c r="I31" s="264">
        <f t="shared" si="1"/>
        <v>-152</v>
      </c>
      <c r="J31" s="264"/>
      <c r="K31" s="264">
        <v>0</v>
      </c>
      <c r="L31" s="12"/>
    </row>
    <row r="32" spans="1:12">
      <c r="A32" s="350" t="s">
        <v>245</v>
      </c>
      <c r="B32" s="256" t="s">
        <v>103</v>
      </c>
      <c r="C32" s="287">
        <f>'Exh D Debt Service'!C31</f>
        <v>15</v>
      </c>
      <c r="D32" s="264"/>
      <c r="E32" s="287">
        <f>'Exh D Debt Service'!E31</f>
        <v>0</v>
      </c>
      <c r="F32" s="264"/>
      <c r="G32" s="288">
        <f>+'Exh A Supp'!T41</f>
        <v>15</v>
      </c>
      <c r="H32" s="264"/>
      <c r="I32" s="264">
        <f t="shared" si="1"/>
        <v>0</v>
      </c>
      <c r="J32" s="264"/>
      <c r="K32" s="264">
        <v>0</v>
      </c>
      <c r="L32" s="12"/>
    </row>
    <row r="33" spans="1:12">
      <c r="A33" s="350" t="s">
        <v>140</v>
      </c>
      <c r="B33" s="256"/>
      <c r="C33" s="287">
        <f>'Exh D Special Revenue State Fed'!C33</f>
        <v>0</v>
      </c>
      <c r="D33" s="264"/>
      <c r="E33" s="287">
        <f>'Exh D Special Revenue State Fed'!E33</f>
        <v>0</v>
      </c>
      <c r="F33" s="264"/>
      <c r="G33" s="288">
        <f>'Exh D Special Revenue State Fed'!G33</f>
        <v>0</v>
      </c>
      <c r="H33" s="264"/>
      <c r="I33" s="264">
        <f t="shared" si="1"/>
        <v>0</v>
      </c>
      <c r="J33" s="264"/>
      <c r="K33" s="264">
        <v>0</v>
      </c>
      <c r="L33" s="12"/>
    </row>
    <row r="34" spans="1:12" ht="15.75" customHeight="1">
      <c r="A34" s="1216" t="s">
        <v>246</v>
      </c>
      <c r="B34" s="36" t="s">
        <v>103</v>
      </c>
      <c r="C34" s="616">
        <f>ROUND(SUM(C29:C33),1)</f>
        <v>36751</v>
      </c>
      <c r="D34" s="13"/>
      <c r="E34" s="616">
        <f>ROUND(SUM(E29:E33),1)</f>
        <v>0</v>
      </c>
      <c r="F34" s="13"/>
      <c r="G34" s="616">
        <f>ROUND(SUM(G29:G33),1)</f>
        <v>36294</v>
      </c>
      <c r="H34" s="13"/>
      <c r="I34" s="616">
        <f>ROUND(SUM(I29:I33),1)</f>
        <v>-457</v>
      </c>
      <c r="J34" s="13"/>
      <c r="K34" s="616">
        <f>ROUND(SUM(K29:K33),1)</f>
        <v>0</v>
      </c>
      <c r="L34" s="12"/>
    </row>
    <row r="35" spans="1:12">
      <c r="A35" s="291"/>
      <c r="B35" s="256"/>
      <c r="C35" s="264"/>
      <c r="D35" s="264"/>
      <c r="E35" s="264"/>
      <c r="F35" s="264"/>
      <c r="G35" s="264"/>
      <c r="H35" s="264"/>
      <c r="I35" s="264"/>
      <c r="J35" s="264"/>
      <c r="K35" s="264"/>
      <c r="L35" s="12"/>
    </row>
    <row r="36" spans="1:12" ht="15.75">
      <c r="A36" s="1216" t="s">
        <v>143</v>
      </c>
      <c r="B36" s="256"/>
      <c r="C36" s="264"/>
      <c r="D36" s="264"/>
      <c r="E36" s="264"/>
      <c r="F36" s="264"/>
      <c r="G36" s="264"/>
      <c r="H36" s="264"/>
      <c r="I36" s="264"/>
      <c r="J36" s="264"/>
      <c r="K36" s="264"/>
      <c r="L36" s="12"/>
    </row>
    <row r="37" spans="1:12" ht="15.75">
      <c r="A37" s="1216" t="s">
        <v>144</v>
      </c>
      <c r="B37" s="256" t="s">
        <v>103</v>
      </c>
      <c r="C37" s="357">
        <f>ROUND(SUM(+C26-C34),1)</f>
        <v>5780</v>
      </c>
      <c r="D37" s="264"/>
      <c r="E37" s="357">
        <f>ROUND(SUM(+E26-E34),1)</f>
        <v>0</v>
      </c>
      <c r="F37" s="264"/>
      <c r="G37" s="357">
        <f>ROUND(SUM(+G26-G34),1)</f>
        <v>8914.5</v>
      </c>
      <c r="H37" s="264"/>
      <c r="I37" s="357">
        <f>ROUND(SUM(+I26-I34),1)</f>
        <v>3134.5</v>
      </c>
      <c r="J37" s="264"/>
      <c r="K37" s="357">
        <f>ROUND(SUM(+K26-K34),1)</f>
        <v>0</v>
      </c>
      <c r="L37" s="12"/>
    </row>
    <row r="38" spans="1:12">
      <c r="A38" s="291"/>
      <c r="B38" s="256"/>
      <c r="C38" s="264"/>
      <c r="D38" s="264"/>
      <c r="E38" s="264"/>
      <c r="F38" s="264"/>
      <c r="G38" s="264"/>
      <c r="H38" s="264"/>
      <c r="I38" s="264"/>
      <c r="J38" s="264"/>
      <c r="K38" s="264"/>
      <c r="L38" s="12"/>
    </row>
    <row r="39" spans="1:12" ht="15.75">
      <c r="A39" s="1216" t="s">
        <v>145</v>
      </c>
      <c r="B39" s="256"/>
      <c r="C39" s="264"/>
      <c r="D39" s="264"/>
      <c r="E39" s="264"/>
      <c r="F39" s="264"/>
      <c r="G39" s="264"/>
      <c r="H39" s="264"/>
      <c r="I39" s="264"/>
      <c r="J39" s="264"/>
      <c r="K39" s="264"/>
      <c r="L39" s="12"/>
    </row>
    <row r="40" spans="1:12">
      <c r="A40" s="350" t="s">
        <v>147</v>
      </c>
      <c r="B40" s="256" t="s">
        <v>103</v>
      </c>
      <c r="C40" s="287">
        <f>'Exh D General Fund'!C27+'Exh D General Fund'!C28+'Exh D General Fund'!C29+'Exh D General Fund'!C30+'Exh D Special Revenue State Fed'!C25+'Exh D Debt Service'!C26</f>
        <v>17331</v>
      </c>
      <c r="D40" s="264"/>
      <c r="E40" s="287">
        <f>'Exh D General Fund'!E27+'Exh D General Fund'!E28+'Exh D General Fund'!E29+'Exh D General Fund'!E30+'Exh D Special Revenue State Fed'!E25+'Exh D Debt Service'!E26</f>
        <v>0</v>
      </c>
      <c r="F40" s="264"/>
      <c r="G40" s="287">
        <f>+'Exh A Supp'!T49</f>
        <v>18262</v>
      </c>
      <c r="H40" s="55" t="s">
        <v>254</v>
      </c>
      <c r="I40" s="264">
        <f t="shared" ref="I40:I41" si="2">G40-C40</f>
        <v>931</v>
      </c>
      <c r="J40" s="264"/>
      <c r="K40" s="264">
        <v>0</v>
      </c>
      <c r="L40" s="12"/>
    </row>
    <row r="41" spans="1:12">
      <c r="A41" s="350" t="s">
        <v>248</v>
      </c>
      <c r="B41" s="256" t="s">
        <v>103</v>
      </c>
      <c r="C41" s="381">
        <f>-('Exh D General Fund'!C38+'Exh D General Fund'!C39+'Exh D General Fund'!C40+'Exh D General Fund'!C41+'Exh D General Fund'!C42+'Exh D Special Revenue State Fed'!C34+'Exh D Debt Service'!C32)</f>
        <v>-16498</v>
      </c>
      <c r="D41" s="264"/>
      <c r="E41" s="381">
        <f>-('Exh D General Fund'!E38+'Exh D General Fund'!E39+'Exh D General Fund'!E40+'Exh D General Fund'!E41+'Exh D General Fund'!E42+'Exh D Special Revenue State Fed'!E34+'Exh D Debt Service'!E32)</f>
        <v>0</v>
      </c>
      <c r="F41" s="264"/>
      <c r="G41" s="287">
        <f>+'Exh A Supp'!T50</f>
        <v>-17424</v>
      </c>
      <c r="H41" s="55" t="s">
        <v>254</v>
      </c>
      <c r="I41" s="264">
        <f t="shared" si="2"/>
        <v>-926</v>
      </c>
      <c r="J41" s="264"/>
      <c r="K41" s="264">
        <v>0</v>
      </c>
      <c r="L41" s="12"/>
    </row>
    <row r="42" spans="1:12" ht="15.75">
      <c r="A42" s="1216" t="s">
        <v>249</v>
      </c>
      <c r="B42" s="256" t="s">
        <v>103</v>
      </c>
      <c r="C42" s="616">
        <f>ROUND(SUM(C40:C41),1)</f>
        <v>833</v>
      </c>
      <c r="D42" s="264"/>
      <c r="E42" s="616">
        <f>ROUND(SUM(E40:E41),1)</f>
        <v>0</v>
      </c>
      <c r="F42" s="264"/>
      <c r="G42" s="616">
        <f>ROUND(SUM(G40:G41),1)</f>
        <v>838</v>
      </c>
      <c r="H42" s="264"/>
      <c r="I42" s="997">
        <f>I40+I41</f>
        <v>5</v>
      </c>
      <c r="J42" s="264"/>
      <c r="K42" s="997">
        <f>ROUND(SUM(K40+K41),1)</f>
        <v>0</v>
      </c>
      <c r="L42" s="12"/>
    </row>
    <row r="43" spans="1:12" ht="15.75">
      <c r="A43" s="1216"/>
      <c r="B43" s="256"/>
      <c r="C43" s="287"/>
      <c r="D43" s="264"/>
      <c r="E43" s="287"/>
      <c r="F43" s="264"/>
      <c r="G43" s="287"/>
      <c r="H43" s="264"/>
      <c r="I43" s="287"/>
      <c r="J43" s="264"/>
      <c r="K43" s="287"/>
      <c r="L43" s="12"/>
    </row>
    <row r="44" spans="1:12" ht="15.75">
      <c r="A44" s="3" t="s">
        <v>250</v>
      </c>
      <c r="B44" s="256"/>
      <c r="C44" s="264"/>
      <c r="D44" s="264"/>
      <c r="E44" s="264"/>
      <c r="F44" s="264"/>
      <c r="G44" s="264"/>
      <c r="H44" s="264"/>
      <c r="I44" s="264"/>
      <c r="J44" s="264"/>
      <c r="K44" s="264"/>
      <c r="L44" s="12"/>
    </row>
    <row r="45" spans="1:12" ht="15" customHeight="1">
      <c r="A45" s="3" t="s">
        <v>251</v>
      </c>
      <c r="B45" s="256"/>
      <c r="C45" s="264"/>
      <c r="D45" s="264"/>
      <c r="E45" s="264"/>
      <c r="F45" s="264"/>
      <c r="G45" s="264"/>
      <c r="H45" s="264"/>
      <c r="I45" s="264" t="s">
        <v>103</v>
      </c>
      <c r="J45" s="264"/>
      <c r="K45" s="264"/>
      <c r="L45" s="12"/>
    </row>
    <row r="46" spans="1:12" ht="15.75">
      <c r="A46" s="1216" t="s">
        <v>252</v>
      </c>
      <c r="B46" s="42" t="s">
        <v>103</v>
      </c>
      <c r="C46" s="13">
        <f>ROUND(SUM(C26)-SUM(C34)+C42,1)</f>
        <v>6613</v>
      </c>
      <c r="D46" s="18"/>
      <c r="E46" s="13">
        <f>ROUND(SUM(E26)-SUM(E34)+E42,1)</f>
        <v>0</v>
      </c>
      <c r="F46" s="18"/>
      <c r="G46" s="13">
        <f>ROUND(SUM(G26)-SUM(G34)+G42,1)</f>
        <v>9752.5</v>
      </c>
      <c r="H46" s="18"/>
      <c r="I46" s="13">
        <f>ROUND(SUM(I26)-SUM(I34)+I42,1)</f>
        <v>3139.5</v>
      </c>
      <c r="J46" s="18"/>
      <c r="K46" s="13">
        <f>ROUND(SUM(K26)-SUM(K34)+K42,1)</f>
        <v>0</v>
      </c>
      <c r="L46" s="12"/>
    </row>
    <row r="47" spans="1:12">
      <c r="A47" s="291"/>
      <c r="B47" s="256"/>
      <c r="C47" s="264"/>
      <c r="D47" s="264"/>
      <c r="E47" s="264" t="s">
        <v>103</v>
      </c>
      <c r="F47" s="264"/>
      <c r="G47" s="264"/>
      <c r="H47" s="264"/>
      <c r="I47" s="264"/>
      <c r="J47" s="264"/>
      <c r="K47" s="264"/>
      <c r="L47" s="12"/>
    </row>
    <row r="48" spans="1:12" ht="15.75">
      <c r="A48" s="1216" t="str">
        <f>'Exh D Governmental  '!A49</f>
        <v>Fund Balances (Deficits) at April 1</v>
      </c>
      <c r="B48" s="384" t="s">
        <v>103</v>
      </c>
      <c r="C48" s="13">
        <f>'Exh D General Fund'!C49+'Exh D Special Revenue State Fed'!C41+'Exh D Debt Service'!C39</f>
        <v>69014</v>
      </c>
      <c r="D48" s="264"/>
      <c r="E48" s="13">
        <f>'Exh D General Fund'!E49+'Exh D Special Revenue State Fed'!E41+'Exh D Debt Service'!E39</f>
        <v>0</v>
      </c>
      <c r="F48" s="264"/>
      <c r="G48" s="13">
        <f>'Exh A Supp'!T57</f>
        <v>69014.2</v>
      </c>
      <c r="H48" s="264"/>
      <c r="I48" s="13">
        <f t="shared" ref="I48" si="3">G48-C48</f>
        <v>0.19999999999708962</v>
      </c>
      <c r="J48" s="264"/>
      <c r="K48" s="13">
        <v>0</v>
      </c>
      <c r="L48" s="12"/>
    </row>
    <row r="49" spans="1:12" ht="16.5" thickBot="1">
      <c r="A49" s="1216" t="str">
        <f>'Exh D Governmental  '!A50</f>
        <v>Fund Balances (Deficits) at June 30, 2026</v>
      </c>
      <c r="B49" s="43" t="s">
        <v>103</v>
      </c>
      <c r="C49" s="674">
        <f>ROUND(SUM(C46:C48),1)</f>
        <v>75627</v>
      </c>
      <c r="D49" s="44"/>
      <c r="E49" s="674">
        <f>ROUND(SUM(E46:E48),1)</f>
        <v>0</v>
      </c>
      <c r="F49" s="44"/>
      <c r="G49" s="674">
        <f>ROUND(SUM(G46:G48),1)</f>
        <v>78766.7</v>
      </c>
      <c r="H49" s="44"/>
      <c r="I49" s="674">
        <f>ROUND(SUM(I46:I48),1)</f>
        <v>3139.7</v>
      </c>
      <c r="J49" s="44"/>
      <c r="K49" s="674">
        <f>ROUND(SUM(K46:K48),1)</f>
        <v>0</v>
      </c>
      <c r="L49" s="12"/>
    </row>
    <row r="50" spans="1:12" ht="15.75" thickTop="1">
      <c r="A50" s="291"/>
      <c r="B50" s="256"/>
      <c r="C50" s="256"/>
      <c r="D50" s="256"/>
      <c r="E50" s="256"/>
      <c r="F50" s="256"/>
      <c r="G50" s="256"/>
      <c r="H50" s="256"/>
      <c r="I50" s="256"/>
      <c r="J50" s="256"/>
      <c r="K50" s="256"/>
    </row>
    <row r="51" spans="1:12">
      <c r="A51" s="385" t="str">
        <f>'Exh D Governmental  '!A52</f>
        <v>(*)  Source: 2026-27 Enacted Budget dated June 10, 2026.</v>
      </c>
      <c r="G51" s="274"/>
      <c r="I51" s="425"/>
      <c r="K51" s="425"/>
    </row>
    <row r="52" spans="1:12">
      <c r="A52" s="284" t="s">
        <v>1497</v>
      </c>
      <c r="G52" s="274"/>
      <c r="I52" s="425"/>
      <c r="K52" s="425"/>
    </row>
    <row r="53" spans="1:12">
      <c r="A53" s="284" t="s">
        <v>1448</v>
      </c>
      <c r="G53" s="425"/>
      <c r="I53" s="425"/>
      <c r="K53" s="425"/>
    </row>
    <row r="54" spans="1:12">
      <c r="A54" s="697" t="s">
        <v>1498</v>
      </c>
      <c r="I54" s="425"/>
      <c r="K54" s="425"/>
    </row>
    <row r="56" spans="1:12">
      <c r="G56" s="425"/>
    </row>
  </sheetData>
  <customSheetViews>
    <customSheetView guid="{83D69B98-1714-4D17-901F-87B47BE66947}" scale="85" showPageBreaks="1" showGridLines="0" fitToPage="1" printArea="1" topLeftCell="A14">
      <selection activeCell="L53" sqref="L53"/>
      <pageMargins left="0.7" right="0.7" top="0.75" bottom="1" header="0.5" footer="0.25"/>
      <printOptions horizontalCentered="1"/>
      <pageSetup scale="20" firstPageNumber="8" orientation="landscape" useFirstPageNumber="1" r:id="rId1"/>
      <headerFooter scaleWithDoc="0" alignWithMargins="0">
        <oddFooter>&amp;C&amp;8&amp;P</oddFooter>
      </headerFooter>
    </customSheetView>
    <customSheetView guid="{F9AE1502-86F7-4AAA-AE66-F6A75A634C1B}" scale="85" showPageBreaks="1" showGridLines="0" fitToPage="1" printArea="1">
      <selection activeCell="G8" sqref="G8"/>
      <pageMargins left="0.7" right="0.7" top="0.75" bottom="1" header="0.5" footer="0.25"/>
      <printOptions horizontalCentered="1"/>
      <pageSetup scale="10" firstPageNumber="8" orientation="landscape" useFirstPageNumber="1" r:id="rId2"/>
      <headerFooter scaleWithDoc="0" alignWithMargins="0">
        <oddFooter>&amp;C&amp;8&amp;P</oddFooter>
      </headerFooter>
    </customSheetView>
    <customSheetView guid="{C41E3923-0A88-49D0-AE43-0E74D386A056}" scale="85" showPageBreaks="1" showGridLines="0" fitToPage="1" printArea="1">
      <selection activeCell="G8" sqref="G8"/>
      <pageMargins left="0.7" right="0.7" top="0.75" bottom="1" header="0.5" footer="0.25"/>
      <printOptions horizontalCentered="1"/>
      <pageSetup scale="57" firstPageNumber="8" orientation="landscape" useFirstPageNumber="1" r:id="rId3"/>
      <headerFooter scaleWithDoc="0" alignWithMargins="0">
        <oddFooter>&amp;C&amp;8&amp;P</oddFooter>
      </headerFooter>
    </customSheetView>
    <customSheetView guid="{1DF171D7-3BFC-49F6-B708-0F91FCFAB6E2}" scale="85" showPageBreaks="1" showGridLines="0" fitToPage="1" printArea="1">
      <selection activeCell="A52" sqref="A52:XFD52"/>
      <pageMargins left="0.7" right="0.7" top="0.75" bottom="1" header="0.5" footer="0.25"/>
      <printOptions horizontalCentered="1"/>
      <pageSetup scale="57" firstPageNumber="8" orientation="landscape" useFirstPageNumber="1" r:id="rId4"/>
      <headerFooter scaleWithDoc="0" alignWithMargins="0">
        <oddFooter>&amp;C&amp;8&amp;P</oddFooter>
      </headerFooter>
    </customSheetView>
    <customSheetView guid="{9F00D83C-7F4F-41B5-9976-8610D9EBC976}" scale="85" showPageBreaks="1" showGridLines="0" fitToPage="1" printArea="1">
      <selection activeCell="L53" sqref="L53"/>
      <pageMargins left="0.7" right="0.7" top="0.75" bottom="1" header="0.5" footer="0.25"/>
      <printOptions horizontalCentered="1"/>
      <pageSetup scale="10" firstPageNumber="8" orientation="landscape" useFirstPageNumber="1" r:id="rId5"/>
      <headerFooter scaleWithDoc="0" alignWithMargins="0">
        <oddFooter>&amp;C&amp;8&amp;P</oddFooter>
      </headerFooter>
    </customSheetView>
    <customSheetView guid="{D1467C25-646C-4F1A-9353-0E890E575522}" scale="85" showPageBreaks="1" showGridLines="0" fitToPage="1" printArea="1">
      <selection activeCell="L53" sqref="L53"/>
      <pageMargins left="0.7" right="0.7" top="0.75" bottom="1" header="0.5" footer="0.25"/>
      <printOptions horizontalCentered="1"/>
      <pageSetup scale="10" firstPageNumber="8" orientation="landscape" useFirstPageNumber="1" r:id="rId6"/>
      <headerFooter scaleWithDoc="0" alignWithMargins="0">
        <oddFooter>&amp;C&amp;8&amp;P</oddFooter>
      </headerFooter>
    </customSheetView>
    <customSheetView guid="{3A50DD26-AAF5-43D4-97DE-BAE3367A2F29}" scale="85" showPageBreaks="1" showGridLines="0" fitToPage="1" printArea="1">
      <selection activeCell="C16" sqref="C16:E16"/>
      <pageMargins left="0.7" right="0.7" top="0.75" bottom="1" header="0.5" footer="0.25"/>
      <printOptions horizontalCentered="1"/>
      <pageSetup scale="10" firstPageNumber="8" orientation="landscape" useFirstPageNumber="1" r:id="rId7"/>
      <headerFooter scaleWithDoc="0" alignWithMargins="0">
        <oddFooter>&amp;C&amp;8&amp;P</oddFooter>
      </headerFooter>
    </customSheetView>
    <customSheetView guid="{C3636880-B45B-4897-94F2-F91976416934}" scale="85" showPageBreaks="1" showGridLines="0" fitToPage="1" printArea="1">
      <selection activeCell="L53" sqref="L53"/>
      <pageMargins left="0.7" right="0.7" top="0.75" bottom="1" header="0.5" footer="0.25"/>
      <printOptions horizontalCentered="1"/>
      <pageSetup scale="58" firstPageNumber="8" orientation="landscape" useFirstPageNumber="1" r:id="rId8"/>
      <headerFooter scaleWithDoc="0" alignWithMargins="0">
        <oddFooter>&amp;C&amp;8&amp;P</oddFooter>
      </headerFooter>
    </customSheetView>
  </customSheetViews>
  <mergeCells count="1">
    <mergeCell ref="C11:I11"/>
  </mergeCells>
  <printOptions horizontalCentered="1"/>
  <pageMargins left="0.7" right="0.7" top="0.75" bottom="1" header="0.5" footer="0.25"/>
  <pageSetup scale="58" firstPageNumber="8" orientation="landscape" useFirstPageNumber="1" r:id="rId9"/>
  <headerFooter scaleWithDoc="0" alignWithMargins="0">
    <oddFooter>&amp;C&amp;8&amp;P</oddFooter>
  </headerFooter>
  <customProperties>
    <customPr name="SheetOptions" r:id="rId10"/>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4"/>
  <sheetViews>
    <sheetView showGridLines="0" zoomScale="90" zoomScaleNormal="90" workbookViewId="0"/>
  </sheetViews>
  <sheetFormatPr defaultColWidth="8.88671875" defaultRowHeight="15"/>
  <cols>
    <col min="1" max="1" width="59" style="291" customWidth="1"/>
    <col min="2" max="2" width="2" style="256" customWidth="1"/>
    <col min="3" max="3" width="15.109375" style="128" customWidth="1"/>
    <col min="4" max="4" width="1.88671875" style="256" customWidth="1"/>
    <col min="5" max="5" width="15.109375" style="128" customWidth="1"/>
    <col min="6" max="6" width="2.88671875" style="256" customWidth="1"/>
    <col min="7" max="7" width="15.109375" style="256" customWidth="1"/>
    <col min="8" max="8" width="4.109375" style="350" bestFit="1" customWidth="1"/>
    <col min="9" max="9" width="15.109375" style="256" customWidth="1"/>
    <col min="10" max="10" width="2.109375" style="256" customWidth="1"/>
    <col min="11" max="11" width="12.88671875" style="256" customWidth="1"/>
    <col min="12" max="12" width="18.109375" style="128" bestFit="1" customWidth="1"/>
    <col min="13" max="13" width="8.88671875" style="291"/>
    <col min="14" max="15" width="10.109375" style="291" bestFit="1" customWidth="1"/>
    <col min="16" max="16384" width="8.88671875" style="291"/>
  </cols>
  <sheetData>
    <row r="1" spans="1:12">
      <c r="A1" s="386" t="s">
        <v>97</v>
      </c>
      <c r="B1" s="48"/>
      <c r="C1" s="124"/>
      <c r="D1" s="48"/>
      <c r="E1" s="124"/>
      <c r="F1" s="48"/>
      <c r="G1" s="48"/>
      <c r="H1" s="1333"/>
      <c r="I1" s="48"/>
      <c r="J1" s="48"/>
      <c r="K1" s="48"/>
      <c r="L1" s="124"/>
    </row>
    <row r="2" spans="1:12" ht="17.25" customHeight="1">
      <c r="A2" s="49"/>
      <c r="B2" s="48"/>
      <c r="C2" s="124"/>
      <c r="D2" s="48"/>
      <c r="E2" s="124"/>
      <c r="F2" s="48"/>
      <c r="G2" s="48"/>
      <c r="H2" s="1333"/>
      <c r="I2" s="48"/>
      <c r="J2" s="48"/>
      <c r="K2" s="48"/>
      <c r="L2" s="124"/>
    </row>
    <row r="3" spans="1:12" ht="18.75" customHeight="1">
      <c r="A3" s="50" t="s">
        <v>98</v>
      </c>
      <c r="B3" s="30"/>
      <c r="C3" s="125"/>
      <c r="D3" s="30"/>
      <c r="E3" s="125"/>
      <c r="F3" s="30"/>
      <c r="G3" s="30"/>
      <c r="H3" s="1334"/>
      <c r="I3" s="352"/>
      <c r="K3" s="352" t="s">
        <v>224</v>
      </c>
      <c r="L3" s="125"/>
    </row>
    <row r="4" spans="1:12" ht="18.75" customHeight="1">
      <c r="A4" s="50" t="s">
        <v>225</v>
      </c>
      <c r="B4" s="30"/>
      <c r="C4" s="125"/>
      <c r="D4" s="30"/>
      <c r="E4" s="125"/>
      <c r="F4" s="30"/>
      <c r="G4" s="30"/>
      <c r="H4" s="1334"/>
      <c r="I4" s="353"/>
      <c r="K4" s="353"/>
      <c r="L4" s="125"/>
    </row>
    <row r="5" spans="1:12" ht="18.75" customHeight="1">
      <c r="A5" s="1996" t="str">
        <f>'Exh D Governmental  '!A5</f>
        <v>FISCAL YEAR 2026-2027</v>
      </c>
      <c r="B5" s="23"/>
      <c r="C5" s="23"/>
      <c r="D5" s="23"/>
      <c r="E5" s="23"/>
      <c r="F5" s="30"/>
      <c r="G5" s="268"/>
      <c r="H5" s="1334"/>
      <c r="I5" s="30"/>
      <c r="J5" s="30"/>
      <c r="K5" s="30"/>
      <c r="L5" s="125"/>
    </row>
    <row r="6" spans="1:12" ht="18.75" customHeight="1">
      <c r="A6" s="351" t="str">
        <f>'Exh D Governmental  '!A6</f>
        <v>FOR THREE MONTHS ENDED JUNE 30, 2026</v>
      </c>
      <c r="B6" s="30"/>
      <c r="C6" s="125"/>
      <c r="D6" s="30"/>
      <c r="E6" s="125"/>
      <c r="F6" s="30"/>
      <c r="G6" s="30"/>
      <c r="H6" s="1334"/>
      <c r="I6" s="30"/>
      <c r="J6" s="30"/>
      <c r="K6" s="30"/>
      <c r="L6" s="125"/>
    </row>
    <row r="7" spans="1:12" ht="18.75" customHeight="1">
      <c r="A7" s="50" t="s">
        <v>226</v>
      </c>
      <c r="B7" s="30"/>
      <c r="C7" s="125"/>
      <c r="D7" s="30"/>
      <c r="E7" s="125"/>
      <c r="F7" s="30"/>
      <c r="G7" s="30"/>
      <c r="H7" s="1334"/>
      <c r="I7" s="30"/>
      <c r="J7" s="30"/>
      <c r="K7" s="30"/>
      <c r="L7" s="125"/>
    </row>
    <row r="8" spans="1:12" ht="15" customHeight="1">
      <c r="A8" s="34"/>
      <c r="B8" s="30"/>
      <c r="C8" s="125"/>
      <c r="D8" s="30"/>
      <c r="E8" s="125"/>
      <c r="F8" s="30"/>
      <c r="G8" s="30"/>
      <c r="H8" s="1334"/>
      <c r="I8" s="30"/>
      <c r="J8" s="30"/>
      <c r="K8" s="30"/>
      <c r="L8" s="125"/>
    </row>
    <row r="9" spans="1:12">
      <c r="A9" s="35"/>
      <c r="B9" s="30"/>
      <c r="C9" s="125"/>
      <c r="D9" s="30"/>
      <c r="E9" s="125"/>
      <c r="F9" s="30"/>
      <c r="G9" s="30"/>
      <c r="H9" s="1334"/>
      <c r="I9" s="30"/>
      <c r="J9" s="30"/>
      <c r="K9" s="30"/>
      <c r="L9" s="125"/>
    </row>
    <row r="10" spans="1:12">
      <c r="A10" s="35"/>
      <c r="B10" s="30"/>
      <c r="C10" s="125"/>
      <c r="D10" s="30"/>
      <c r="E10" s="125"/>
      <c r="F10" s="30"/>
      <c r="G10" s="30"/>
      <c r="H10" s="1334"/>
      <c r="I10" s="30"/>
      <c r="J10" s="30"/>
      <c r="K10" s="30"/>
      <c r="L10" s="125"/>
    </row>
    <row r="11" spans="1:12" ht="15.75">
      <c r="C11" s="2061" t="s">
        <v>255</v>
      </c>
      <c r="D11" s="2061"/>
      <c r="E11" s="2061"/>
      <c r="F11" s="2061"/>
      <c r="G11" s="2061"/>
      <c r="H11" s="2061"/>
      <c r="I11" s="2061"/>
      <c r="J11" s="427"/>
      <c r="K11" s="1006"/>
    </row>
    <row r="12" spans="1:12" ht="15.75">
      <c r="C12" s="126"/>
      <c r="D12" s="52"/>
      <c r="E12" s="126"/>
      <c r="F12" s="52"/>
      <c r="G12" s="53"/>
      <c r="H12" s="1216"/>
      <c r="I12" s="52" t="s">
        <v>228</v>
      </c>
      <c r="J12" s="51"/>
      <c r="K12" s="52" t="s">
        <v>228</v>
      </c>
    </row>
    <row r="13" spans="1:12" ht="15.75">
      <c r="B13" s="36"/>
      <c r="C13" s="127"/>
      <c r="D13" s="36"/>
      <c r="E13" s="127"/>
      <c r="F13" s="36"/>
      <c r="G13" s="36"/>
      <c r="H13" s="1216"/>
      <c r="I13" s="37" t="s">
        <v>229</v>
      </c>
      <c r="J13" s="37"/>
      <c r="K13" s="37" t="s">
        <v>229</v>
      </c>
      <c r="L13" s="127"/>
    </row>
    <row r="14" spans="1:12" ht="15.75">
      <c r="B14" s="54"/>
      <c r="C14" s="38" t="s">
        <v>231</v>
      </c>
      <c r="D14" s="36"/>
      <c r="E14" s="37" t="s">
        <v>232</v>
      </c>
      <c r="F14" s="36"/>
      <c r="G14" s="36"/>
      <c r="H14" s="1216"/>
      <c r="I14" s="37" t="s">
        <v>233</v>
      </c>
      <c r="J14" s="37"/>
      <c r="K14" s="37" t="s">
        <v>233</v>
      </c>
      <c r="L14" s="392"/>
    </row>
    <row r="15" spans="1:12" ht="15.75">
      <c r="B15" s="54"/>
      <c r="C15" s="37" t="s">
        <v>234</v>
      </c>
      <c r="D15" s="36"/>
      <c r="E15" s="37" t="s">
        <v>234</v>
      </c>
      <c r="F15" s="36"/>
      <c r="G15" s="36"/>
      <c r="H15" s="1216"/>
      <c r="I15" s="37" t="s">
        <v>231</v>
      </c>
      <c r="J15" s="37"/>
      <c r="K15" s="37" t="s">
        <v>232</v>
      </c>
      <c r="L15" s="392"/>
    </row>
    <row r="16" spans="1:12" ht="15.75">
      <c r="B16" s="37"/>
      <c r="C16" s="37" t="s">
        <v>235</v>
      </c>
      <c r="D16" s="36"/>
      <c r="E16" s="37" t="s">
        <v>1491</v>
      </c>
      <c r="F16" s="36"/>
      <c r="G16" s="38" t="s">
        <v>228</v>
      </c>
      <c r="H16" s="1216"/>
      <c r="I16" s="37" t="s">
        <v>236</v>
      </c>
      <c r="J16" s="37"/>
      <c r="K16" s="37" t="s">
        <v>236</v>
      </c>
      <c r="L16" s="38"/>
    </row>
    <row r="17" spans="1:14">
      <c r="A17" s="39"/>
      <c r="B17" s="30"/>
      <c r="C17" s="1005"/>
      <c r="D17" s="30"/>
      <c r="E17" s="1005"/>
      <c r="F17" s="30"/>
      <c r="G17" s="1005"/>
      <c r="H17" s="1334"/>
      <c r="I17" s="1005"/>
      <c r="J17" s="30"/>
      <c r="K17" s="1005"/>
      <c r="L17" s="30"/>
    </row>
    <row r="18" spans="1:14" ht="15.75">
      <c r="A18" s="3" t="s">
        <v>114</v>
      </c>
      <c r="C18" s="256"/>
      <c r="E18" s="256"/>
      <c r="L18" s="256"/>
    </row>
    <row r="19" spans="1:14">
      <c r="A19" s="350" t="s">
        <v>237</v>
      </c>
      <c r="B19" s="378"/>
      <c r="C19" s="256"/>
      <c r="D19" s="378"/>
      <c r="E19" s="256"/>
      <c r="F19" s="378"/>
      <c r="L19" s="256"/>
    </row>
    <row r="20" spans="1:14">
      <c r="A20" s="350" t="s">
        <v>238</v>
      </c>
      <c r="B20" s="378" t="s">
        <v>103</v>
      </c>
      <c r="C20" s="277">
        <v>10116</v>
      </c>
      <c r="D20" s="276"/>
      <c r="E20" s="277">
        <v>0</v>
      </c>
      <c r="F20" s="276"/>
      <c r="G20" s="274">
        <f>'Exhibit F'!AC27</f>
        <v>10443.1</v>
      </c>
      <c r="I20" s="274">
        <f>G20-C20</f>
        <v>327.10000000000036</v>
      </c>
      <c r="K20" s="274">
        <v>0</v>
      </c>
      <c r="L20" s="1512"/>
      <c r="M20" s="1492"/>
      <c r="N20" s="1492"/>
    </row>
    <row r="21" spans="1:14">
      <c r="A21" s="350" t="s">
        <v>239</v>
      </c>
      <c r="B21" s="256" t="s">
        <v>103</v>
      </c>
      <c r="C21" s="275">
        <v>2714</v>
      </c>
      <c r="D21" s="1790"/>
      <c r="E21" s="275">
        <v>0</v>
      </c>
      <c r="F21" s="264"/>
      <c r="G21" s="264">
        <f>'Exhibit F'!AC38</f>
        <v>2767.1</v>
      </c>
      <c r="I21" s="264">
        <f t="shared" ref="I21:I30" si="0">G21-C21</f>
        <v>53.099999999999909</v>
      </c>
      <c r="K21" s="264">
        <v>0</v>
      </c>
      <c r="L21" s="1513"/>
      <c r="M21" s="1492"/>
      <c r="N21" s="1492"/>
    </row>
    <row r="22" spans="1:14">
      <c r="A22" s="350" t="s">
        <v>240</v>
      </c>
      <c r="B22" s="378" t="s">
        <v>103</v>
      </c>
      <c r="C22" s="275">
        <v>4860</v>
      </c>
      <c r="D22" s="367"/>
      <c r="E22" s="275">
        <v>0</v>
      </c>
      <c r="F22" s="287"/>
      <c r="G22" s="264">
        <f>'Exhibit F'!AC46</f>
        <v>5791.3</v>
      </c>
      <c r="I22" s="264">
        <f t="shared" si="0"/>
        <v>931.30000000000018</v>
      </c>
      <c r="K22" s="264">
        <v>0</v>
      </c>
      <c r="L22" s="1513"/>
      <c r="M22" s="1492"/>
      <c r="N22" s="1492"/>
    </row>
    <row r="23" spans="1:14">
      <c r="A23" s="350" t="s">
        <v>241</v>
      </c>
      <c r="B23" s="256" t="s">
        <v>103</v>
      </c>
      <c r="C23" s="275">
        <v>410</v>
      </c>
      <c r="D23" s="1790"/>
      <c r="E23" s="275">
        <v>0</v>
      </c>
      <c r="F23" s="264"/>
      <c r="G23" s="264">
        <f>'Exhibit F'!AC54</f>
        <v>376.9</v>
      </c>
      <c r="I23" s="264">
        <f t="shared" si="0"/>
        <v>-33.100000000000023</v>
      </c>
      <c r="K23" s="264">
        <v>0</v>
      </c>
      <c r="L23" s="1514"/>
      <c r="M23" s="1492"/>
      <c r="N23" s="1492"/>
    </row>
    <row r="24" spans="1:14" ht="15" customHeight="1">
      <c r="A24" s="350" t="s">
        <v>119</v>
      </c>
      <c r="B24" s="256" t="s">
        <v>103</v>
      </c>
      <c r="C24" s="275">
        <v>964</v>
      </c>
      <c r="D24" s="1791"/>
      <c r="E24" s="275">
        <v>0</v>
      </c>
      <c r="F24" s="1197"/>
      <c r="G24" s="289">
        <f>'Exhibit F'!AC97</f>
        <v>1137.5999999999999</v>
      </c>
      <c r="I24" s="264">
        <f t="shared" si="0"/>
        <v>173.59999999999991</v>
      </c>
      <c r="K24" s="264">
        <v>0</v>
      </c>
      <c r="L24" s="1514"/>
      <c r="M24" s="1492"/>
      <c r="N24" s="1492"/>
    </row>
    <row r="25" spans="1:14" ht="15" customHeight="1">
      <c r="A25" s="350" t="s">
        <v>120</v>
      </c>
      <c r="B25" s="256" t="s">
        <v>103</v>
      </c>
      <c r="C25" s="275">
        <v>0</v>
      </c>
      <c r="D25" s="1790"/>
      <c r="E25" s="275">
        <v>0</v>
      </c>
      <c r="F25" s="264"/>
      <c r="G25" s="289">
        <f>'Exhibit F'!AC99</f>
        <v>1.1000000000000001</v>
      </c>
      <c r="I25" s="264">
        <f t="shared" si="0"/>
        <v>1.1000000000000001</v>
      </c>
      <c r="K25" s="264">
        <v>0</v>
      </c>
      <c r="L25" s="1513"/>
      <c r="M25" s="1492"/>
      <c r="N25" s="1492"/>
    </row>
    <row r="26" spans="1:14" ht="18" customHeight="1">
      <c r="A26" s="350" t="s">
        <v>256</v>
      </c>
      <c r="B26" s="388"/>
      <c r="C26" s="275"/>
      <c r="D26" s="1790"/>
      <c r="E26" s="275"/>
      <c r="F26" s="264"/>
      <c r="G26" s="1795"/>
      <c r="I26" s="264"/>
      <c r="J26" s="388"/>
      <c r="K26" s="264"/>
      <c r="L26" s="1515"/>
      <c r="M26" s="1492"/>
      <c r="N26" s="1492"/>
    </row>
    <row r="27" spans="1:14">
      <c r="A27" s="350" t="s">
        <v>257</v>
      </c>
      <c r="B27" s="388" t="s">
        <v>103</v>
      </c>
      <c r="C27" s="275">
        <v>12087</v>
      </c>
      <c r="D27" s="1790"/>
      <c r="E27" s="275">
        <v>0</v>
      </c>
      <c r="F27" s="264"/>
      <c r="G27" s="264">
        <f>'Exhibit F'!AC128</f>
        <v>12898.5</v>
      </c>
      <c r="I27" s="264">
        <f t="shared" si="0"/>
        <v>811.5</v>
      </c>
      <c r="J27" s="388"/>
      <c r="K27" s="264">
        <v>0</v>
      </c>
      <c r="L27" s="1515"/>
      <c r="M27" s="1492"/>
      <c r="N27" s="1492"/>
    </row>
    <row r="28" spans="1:14">
      <c r="A28" s="350" t="s">
        <v>258</v>
      </c>
      <c r="B28" s="388" t="s">
        <v>103</v>
      </c>
      <c r="C28" s="275">
        <v>2358</v>
      </c>
      <c r="D28" s="1790"/>
      <c r="E28" s="275">
        <v>0</v>
      </c>
      <c r="F28" s="264"/>
      <c r="G28" s="289">
        <f>'Exhibit F'!AC129</f>
        <v>2519.1999999999998</v>
      </c>
      <c r="I28" s="264">
        <f t="shared" si="0"/>
        <v>161.19999999999982</v>
      </c>
      <c r="J28" s="388"/>
      <c r="K28" s="264">
        <v>0</v>
      </c>
      <c r="L28" s="1515"/>
      <c r="M28" s="1492"/>
      <c r="N28" s="1492"/>
    </row>
    <row r="29" spans="1:14">
      <c r="A29" s="350" t="s">
        <v>259</v>
      </c>
      <c r="B29" s="388" t="s">
        <v>103</v>
      </c>
      <c r="C29" s="275">
        <v>286</v>
      </c>
      <c r="D29" s="1790"/>
      <c r="E29" s="275">
        <v>0</v>
      </c>
      <c r="F29" s="264"/>
      <c r="G29" s="264">
        <f>'Exhibit F'!AC130</f>
        <v>313.39999999999998</v>
      </c>
      <c r="I29" s="264">
        <f t="shared" si="0"/>
        <v>27.399999999999977</v>
      </c>
      <c r="J29" s="388"/>
      <c r="K29" s="264">
        <v>0</v>
      </c>
      <c r="L29" s="1515"/>
      <c r="M29" s="1492"/>
      <c r="N29" s="1492"/>
    </row>
    <row r="30" spans="1:14">
      <c r="A30" s="350" t="s">
        <v>260</v>
      </c>
      <c r="B30" s="388" t="s">
        <v>103</v>
      </c>
      <c r="C30" s="275">
        <v>659</v>
      </c>
      <c r="D30" s="1790"/>
      <c r="E30" s="275">
        <v>0</v>
      </c>
      <c r="F30" s="264"/>
      <c r="G30" s="289">
        <f>'Exhibit F'!AC131</f>
        <v>622.20000000000073</v>
      </c>
      <c r="I30" s="264">
        <f t="shared" si="0"/>
        <v>-36.799999999999272</v>
      </c>
      <c r="J30" s="388"/>
      <c r="K30" s="264">
        <v>0</v>
      </c>
      <c r="L30" s="1516"/>
      <c r="M30" s="1492"/>
      <c r="N30" s="1492"/>
    </row>
    <row r="31" spans="1:14" ht="18" customHeight="1">
      <c r="A31" s="1216" t="s">
        <v>261</v>
      </c>
      <c r="B31" s="36" t="s">
        <v>103</v>
      </c>
      <c r="C31" s="617">
        <f>ROUND(SUM(C20:C30),1)</f>
        <v>34454</v>
      </c>
      <c r="D31" s="13"/>
      <c r="E31" s="617">
        <f>ROUND(SUM(E20:E30),1)</f>
        <v>0</v>
      </c>
      <c r="F31" s="13"/>
      <c r="G31" s="617">
        <f>ROUND(SUM(G20:G30),1)</f>
        <v>36870.400000000001</v>
      </c>
      <c r="H31" s="1216"/>
      <c r="I31" s="616">
        <f>ROUND(SUM(I20:I30),1)</f>
        <v>2416.4</v>
      </c>
      <c r="J31" s="36"/>
      <c r="K31" s="616">
        <f>ROUND(SUM(K20:K30),1)</f>
        <v>0</v>
      </c>
      <c r="L31" s="1517"/>
      <c r="M31" s="1492"/>
      <c r="N31" s="1492"/>
    </row>
    <row r="32" spans="1:14">
      <c r="C32" s="615"/>
      <c r="D32" s="264"/>
      <c r="E32" s="615"/>
      <c r="F32" s="264"/>
      <c r="G32" s="615"/>
      <c r="I32" s="264"/>
      <c r="K32" s="264"/>
      <c r="L32" s="1492"/>
      <c r="M32" s="1492"/>
      <c r="N32" s="1492"/>
    </row>
    <row r="33" spans="1:15" ht="15.75">
      <c r="A33" s="3" t="s">
        <v>122</v>
      </c>
      <c r="C33" s="264"/>
      <c r="D33" s="264"/>
      <c r="E33" s="264"/>
      <c r="F33" s="264"/>
      <c r="G33" s="264"/>
      <c r="I33" s="264"/>
      <c r="K33" s="264"/>
      <c r="L33" s="1492"/>
      <c r="M33" s="1492"/>
      <c r="N33" s="1492"/>
    </row>
    <row r="34" spans="1:15">
      <c r="A34" s="350" t="s">
        <v>243</v>
      </c>
      <c r="B34" s="378" t="s">
        <v>103</v>
      </c>
      <c r="C34" s="275">
        <v>24063</v>
      </c>
      <c r="D34" s="1790"/>
      <c r="E34" s="275">
        <v>0</v>
      </c>
      <c r="F34" s="264"/>
      <c r="G34" s="289">
        <f>'Exhibit F'!AC115</f>
        <v>23776.7</v>
      </c>
      <c r="I34" s="264">
        <f t="shared" ref="I34:I36" si="1">G34-C34</f>
        <v>-286.29999999999927</v>
      </c>
      <c r="K34" s="264">
        <v>0</v>
      </c>
      <c r="L34" s="1512"/>
      <c r="M34" s="1492"/>
      <c r="N34" s="1492"/>
    </row>
    <row r="35" spans="1:15">
      <c r="A35" s="350" t="s">
        <v>244</v>
      </c>
      <c r="B35" s="378" t="s">
        <v>103</v>
      </c>
      <c r="C35" s="275">
        <v>3761</v>
      </c>
      <c r="D35" s="1790"/>
      <c r="E35" s="275">
        <v>0</v>
      </c>
      <c r="F35" s="264"/>
      <c r="G35" s="289">
        <f>'Exhibit F'!AC117+'Exhibit F'!AC118</f>
        <v>3782.3</v>
      </c>
      <c r="I35" s="264">
        <f t="shared" si="1"/>
        <v>21.300000000000182</v>
      </c>
      <c r="K35" s="264">
        <v>0</v>
      </c>
      <c r="L35" s="1512"/>
      <c r="M35" s="1492"/>
      <c r="N35" s="1492"/>
    </row>
    <row r="36" spans="1:15">
      <c r="A36" s="350" t="s">
        <v>209</v>
      </c>
      <c r="B36" s="378" t="s">
        <v>103</v>
      </c>
      <c r="C36" s="275">
        <v>2629</v>
      </c>
      <c r="D36" s="1790"/>
      <c r="E36" s="275">
        <v>0</v>
      </c>
      <c r="F36" s="264"/>
      <c r="G36" s="289">
        <f>'Exhibit F'!AC119</f>
        <v>2346.9</v>
      </c>
      <c r="I36" s="264">
        <f t="shared" si="1"/>
        <v>-282.09999999999991</v>
      </c>
      <c r="K36" s="264">
        <v>0</v>
      </c>
      <c r="L36" s="1512"/>
      <c r="M36" s="1492"/>
      <c r="N36" s="1492"/>
    </row>
    <row r="37" spans="1:15" ht="18" customHeight="1">
      <c r="A37" s="350" t="s">
        <v>262</v>
      </c>
      <c r="B37" s="388"/>
      <c r="C37" s="275"/>
      <c r="D37" s="1790"/>
      <c r="E37" s="275"/>
      <c r="F37" s="264"/>
      <c r="G37" s="275"/>
      <c r="I37" s="264"/>
      <c r="J37" s="388"/>
      <c r="K37" s="264" t="s">
        <v>230</v>
      </c>
      <c r="L37" s="1516"/>
      <c r="M37" s="1492"/>
      <c r="N37" s="1492"/>
    </row>
    <row r="38" spans="1:15">
      <c r="A38" s="350" t="s">
        <v>263</v>
      </c>
      <c r="B38" s="388" t="s">
        <v>103</v>
      </c>
      <c r="C38" s="275">
        <v>7</v>
      </c>
      <c r="D38" s="1790"/>
      <c r="E38" s="275">
        <v>0</v>
      </c>
      <c r="F38" s="264"/>
      <c r="G38" s="288">
        <f>-'Exhibit F'!AC134</f>
        <v>7.4</v>
      </c>
      <c r="I38" s="264">
        <f t="shared" ref="I38:I42" si="2">G38-C38</f>
        <v>0.40000000000000036</v>
      </c>
      <c r="J38" s="388"/>
      <c r="K38" s="264">
        <v>0</v>
      </c>
      <c r="L38" s="1515"/>
      <c r="M38" s="1492"/>
      <c r="N38" s="1492"/>
    </row>
    <row r="39" spans="1:15">
      <c r="A39" s="350" t="s">
        <v>264</v>
      </c>
      <c r="B39" s="388" t="s">
        <v>103</v>
      </c>
      <c r="C39" s="275">
        <v>-310</v>
      </c>
      <c r="D39" s="1790"/>
      <c r="E39" s="275">
        <v>0</v>
      </c>
      <c r="F39" s="264"/>
      <c r="G39" s="288">
        <f>-'Exhibit F'!AC132-'Exhibit F'!AC133</f>
        <v>-306.8</v>
      </c>
      <c r="H39" s="350" t="s">
        <v>103</v>
      </c>
      <c r="I39" s="264">
        <f t="shared" si="2"/>
        <v>3.1999999999999886</v>
      </c>
      <c r="J39" s="388"/>
      <c r="K39" s="264">
        <v>0</v>
      </c>
      <c r="L39" s="1515"/>
      <c r="M39" s="1492"/>
      <c r="N39" s="1492"/>
    </row>
    <row r="40" spans="1:15">
      <c r="A40" s="350" t="s">
        <v>265</v>
      </c>
      <c r="B40" s="388" t="s">
        <v>103</v>
      </c>
      <c r="C40" s="275">
        <v>0</v>
      </c>
      <c r="D40" s="1790"/>
      <c r="E40" s="275">
        <v>0</v>
      </c>
      <c r="F40" s="264"/>
      <c r="G40" s="275">
        <v>114.9</v>
      </c>
      <c r="H40" s="291" t="s">
        <v>266</v>
      </c>
      <c r="I40" s="264">
        <f t="shared" si="2"/>
        <v>114.9</v>
      </c>
      <c r="J40" s="388"/>
      <c r="K40" s="264">
        <v>0</v>
      </c>
      <c r="L40" s="1515"/>
      <c r="M40" s="1492"/>
      <c r="N40" s="1492"/>
      <c r="O40" s="1492"/>
    </row>
    <row r="41" spans="1:15">
      <c r="A41" s="350" t="s">
        <v>267</v>
      </c>
      <c r="B41" s="388" t="s">
        <v>268</v>
      </c>
      <c r="C41" s="275">
        <v>872</v>
      </c>
      <c r="D41" s="1790"/>
      <c r="E41" s="275">
        <v>0</v>
      </c>
      <c r="F41" s="264"/>
      <c r="G41" s="275">
        <v>844.3</v>
      </c>
      <c r="I41" s="264">
        <f t="shared" si="2"/>
        <v>-27.700000000000045</v>
      </c>
      <c r="J41" s="388"/>
      <c r="K41" s="264">
        <v>0</v>
      </c>
      <c r="L41" s="1515"/>
      <c r="M41" s="1492"/>
      <c r="N41" s="1492"/>
      <c r="O41" s="1492"/>
    </row>
    <row r="42" spans="1:15">
      <c r="A42" s="350" t="s">
        <v>269</v>
      </c>
      <c r="B42" s="388" t="s">
        <v>103</v>
      </c>
      <c r="C42" s="275">
        <v>449</v>
      </c>
      <c r="D42" s="1790"/>
      <c r="E42" s="275">
        <v>0</v>
      </c>
      <c r="F42" s="264"/>
      <c r="G42" s="275">
        <v>338.70000000000005</v>
      </c>
      <c r="I42" s="264">
        <f t="shared" si="2"/>
        <v>-110.29999999999995</v>
      </c>
      <c r="J42" s="388"/>
      <c r="K42" s="264">
        <v>0</v>
      </c>
      <c r="L42" s="1516"/>
      <c r="M42" s="1492"/>
      <c r="N42" s="1492"/>
      <c r="O42" s="1492"/>
    </row>
    <row r="43" spans="1:15" ht="18" customHeight="1">
      <c r="A43" s="1216" t="s">
        <v>270</v>
      </c>
      <c r="B43" s="36" t="s">
        <v>103</v>
      </c>
      <c r="C43" s="617">
        <f>ROUND(SUM(C34:C42),1)</f>
        <v>31471</v>
      </c>
      <c r="D43" s="13"/>
      <c r="E43" s="617">
        <f>ROUND(SUM(E34:E42),1)</f>
        <v>0</v>
      </c>
      <c r="F43" s="13"/>
      <c r="G43" s="617">
        <f>ROUND(SUM(G34:G42),1)</f>
        <v>30904.400000000001</v>
      </c>
      <c r="H43" s="1216"/>
      <c r="I43" s="616">
        <f>ROUND(SUM(I34:I42),1)</f>
        <v>-566.6</v>
      </c>
      <c r="J43" s="36"/>
      <c r="K43" s="616">
        <f>ROUND(SUM(K34:K42),1)</f>
        <v>0</v>
      </c>
      <c r="L43" s="1517"/>
      <c r="M43" s="1492"/>
      <c r="N43" s="1492"/>
      <c r="O43" s="1492"/>
    </row>
    <row r="44" spans="1:15">
      <c r="C44" s="615"/>
      <c r="D44" s="264"/>
      <c r="E44" s="615"/>
      <c r="F44" s="264"/>
      <c r="G44" s="615"/>
      <c r="I44" s="264"/>
      <c r="K44" s="264"/>
      <c r="L44" s="1492"/>
      <c r="M44" s="1492"/>
      <c r="N44" s="1492"/>
    </row>
    <row r="45" spans="1:15" ht="15.75">
      <c r="A45" s="3" t="s">
        <v>271</v>
      </c>
      <c r="C45" s="264"/>
      <c r="D45" s="264"/>
      <c r="E45" s="264"/>
      <c r="F45" s="264"/>
      <c r="G45" s="264"/>
      <c r="I45" s="264"/>
      <c r="K45" s="264"/>
      <c r="L45" s="1492"/>
      <c r="M45" s="1492"/>
      <c r="N45" s="1492"/>
    </row>
    <row r="46" spans="1:15" ht="15.75">
      <c r="A46" s="3" t="s">
        <v>272</v>
      </c>
      <c r="C46" s="264"/>
      <c r="D46" s="264"/>
      <c r="E46" s="264"/>
      <c r="F46" s="264"/>
      <c r="G46" s="264"/>
      <c r="I46" s="264"/>
      <c r="K46" s="264"/>
      <c r="L46" s="1492"/>
      <c r="M46" s="1492"/>
      <c r="N46" s="1492"/>
    </row>
    <row r="47" spans="1:15" ht="15.75">
      <c r="A47" s="1216" t="s">
        <v>252</v>
      </c>
      <c r="B47" s="1215" t="s">
        <v>103</v>
      </c>
      <c r="C47" s="13">
        <f>ROUND(SUM(C31)-SUM(C43),1)</f>
        <v>2983</v>
      </c>
      <c r="D47" s="18"/>
      <c r="E47" s="13">
        <f>ROUND(SUM(E31)-SUM(E43),1)</f>
        <v>0</v>
      </c>
      <c r="F47" s="18"/>
      <c r="G47" s="13">
        <f>ROUND(SUM(G31)-SUM(G43),1)</f>
        <v>5966</v>
      </c>
      <c r="H47" s="1216"/>
      <c r="I47" s="13">
        <f>ROUND(SUM(I31)-SUM(I43),1)</f>
        <v>2983</v>
      </c>
      <c r="J47" s="36"/>
      <c r="K47" s="13">
        <f>ROUND(SUM(K31)-SUM(K43),1)</f>
        <v>0</v>
      </c>
      <c r="L47" s="1517"/>
      <c r="M47" s="1492"/>
      <c r="N47" s="1492"/>
    </row>
    <row r="48" spans="1:15" ht="15" customHeight="1">
      <c r="C48" s="264"/>
      <c r="D48" s="264"/>
      <c r="E48" s="264"/>
      <c r="F48" s="264"/>
      <c r="G48" s="264"/>
      <c r="I48" s="13"/>
      <c r="J48" s="36"/>
      <c r="K48" s="13"/>
      <c r="L48" s="1492"/>
      <c r="M48" s="1492"/>
      <c r="N48" s="1492"/>
    </row>
    <row r="49" spans="1:14" ht="15.75">
      <c r="A49" s="1216" t="str">
        <f>'Exh D Governmental  '!A49</f>
        <v>Fund Balances (Deficits) at April 1</v>
      </c>
      <c r="B49" s="256" t="s">
        <v>103</v>
      </c>
      <c r="C49" s="13">
        <v>56178</v>
      </c>
      <c r="D49" s="264"/>
      <c r="E49" s="13">
        <v>0</v>
      </c>
      <c r="F49" s="264"/>
      <c r="G49" s="13">
        <v>56177.599999999999</v>
      </c>
      <c r="I49" s="13">
        <f t="shared" ref="I49" si="3">G49-C49</f>
        <v>-0.40000000000145519</v>
      </c>
      <c r="J49" s="36"/>
      <c r="K49" s="13">
        <v>0</v>
      </c>
      <c r="L49" s="1517"/>
      <c r="M49" s="1492"/>
      <c r="N49" s="1492"/>
    </row>
    <row r="50" spans="1:14" ht="18" customHeight="1" thickBot="1">
      <c r="A50" s="1216" t="str">
        <f>'Exh D Governmental  '!A50</f>
        <v>Fund Balances (Deficits) at June 30, 2026</v>
      </c>
      <c r="B50" s="43" t="s">
        <v>103</v>
      </c>
      <c r="C50" s="674">
        <f>ROUND(SUM(C47:C49),1)</f>
        <v>59161</v>
      </c>
      <c r="D50" s="44"/>
      <c r="E50" s="674">
        <f>ROUND(SUM(E47:E49),1)</f>
        <v>0</v>
      </c>
      <c r="F50" s="44"/>
      <c r="G50" s="674">
        <f>ROUND(SUM(G47:G49),1)</f>
        <v>62143.6</v>
      </c>
      <c r="H50" s="1216"/>
      <c r="I50" s="674">
        <f>ROUND(SUM(I47:I49),1)</f>
        <v>2982.6</v>
      </c>
      <c r="J50" s="36"/>
      <c r="K50" s="674">
        <f>ROUND(SUM(K47:K49),1)</f>
        <v>0</v>
      </c>
      <c r="L50" s="1517"/>
      <c r="M50" s="1492"/>
      <c r="N50" s="1492"/>
    </row>
    <row r="51" spans="1:14" ht="15" customHeight="1" thickTop="1">
      <c r="A51" s="39"/>
      <c r="L51" s="290"/>
    </row>
    <row r="52" spans="1:14">
      <c r="A52" s="385" t="str">
        <f>'Exh D Governmental  '!A52</f>
        <v>(*)  Source: 2026-27 Enacted Budget dated June 10, 2026.</v>
      </c>
      <c r="G52" s="1627"/>
    </row>
    <row r="53" spans="1:14">
      <c r="A53" s="350" t="s">
        <v>1494</v>
      </c>
    </row>
    <row r="54" spans="1:14">
      <c r="A54" s="350" t="s">
        <v>273</v>
      </c>
    </row>
    <row r="59" spans="1:14">
      <c r="A59" s="350" t="s">
        <v>103</v>
      </c>
      <c r="C59" s="967"/>
    </row>
    <row r="60" spans="1:14">
      <c r="A60" s="350"/>
      <c r="C60" s="967"/>
      <c r="G60" s="256" t="s">
        <v>103</v>
      </c>
    </row>
    <row r="61" spans="1:14">
      <c r="C61" s="967"/>
    </row>
    <row r="62" spans="1:14">
      <c r="A62" s="840"/>
      <c r="C62" s="968"/>
    </row>
    <row r="63" spans="1:14">
      <c r="A63" s="55"/>
      <c r="C63" s="967"/>
    </row>
    <row r="64" spans="1:14">
      <c r="C64" s="967"/>
    </row>
  </sheetData>
  <customSheetViews>
    <customSheetView guid="{83D69B98-1714-4D17-901F-87B47BE66947}" scale="90" showPageBreaks="1" showGridLines="0" fitToPage="1" printArea="1" topLeftCell="A23">
      <selection activeCell="F39" sqref="F39"/>
      <pageMargins left="0.5" right="0.75" top="0.75" bottom="0.75" header="0.5" footer="0.25"/>
      <printOptions horizontalCentered="1"/>
      <pageSetup scale="56" firstPageNumber="9" orientation="landscape" useFirstPageNumber="1" r:id="rId1"/>
      <headerFooter scaleWithDoc="0" alignWithMargins="0">
        <oddFooter>&amp;C&amp;8&amp;P</oddFooter>
      </headerFooter>
    </customSheetView>
    <customSheetView guid="{F9AE1502-86F7-4AAA-AE66-F6A75A634C1B}" scale="90" showPageBreaks="1" showGridLines="0" fitToPage="1" printArea="1" topLeftCell="A25">
      <selection activeCell="E21" sqref="E21"/>
      <pageMargins left="0.5" right="0.75" top="0.75" bottom="0.75" header="0.5" footer="0.25"/>
      <printOptions horizontalCentered="1"/>
      <pageSetup scale="10" firstPageNumber="9" orientation="landscape" useFirstPageNumber="1" r:id="rId2"/>
      <headerFooter scaleWithDoc="0" alignWithMargins="0">
        <oddFooter>&amp;C&amp;8&amp;P</oddFooter>
      </headerFooter>
    </customSheetView>
    <customSheetView guid="{C41E3923-0A88-49D0-AE43-0E74D386A056}" scale="90" showPageBreaks="1" showGridLines="0" fitToPage="1" printArea="1" topLeftCell="A25">
      <selection activeCell="E21" sqref="E21"/>
      <pageMargins left="0.5" right="0.75" top="0.75" bottom="0.75" header="0.5" footer="0.25"/>
      <printOptions horizontalCentered="1"/>
      <pageSetup scale="56" firstPageNumber="9" orientation="landscape" useFirstPageNumber="1" r:id="rId3"/>
      <headerFooter scaleWithDoc="0" alignWithMargins="0">
        <oddFooter>&amp;C&amp;8&amp;P</oddFooter>
      </headerFooter>
    </customSheetView>
    <customSheetView guid="{1DF171D7-3BFC-49F6-B708-0F91FCFAB6E2}" scale="90" showPageBreaks="1" showGridLines="0" fitToPage="1" printArea="1" topLeftCell="A25">
      <selection activeCell="A53" sqref="A53:XFD53"/>
      <pageMargins left="0.5" right="0.75" top="0.75" bottom="0.75" header="0.5" footer="0.25"/>
      <printOptions horizontalCentered="1"/>
      <pageSetup scale="56" firstPageNumber="9" orientation="landscape" useFirstPageNumber="1" r:id="rId4"/>
      <headerFooter scaleWithDoc="0" alignWithMargins="0">
        <oddFooter>&amp;C&amp;8&amp;P</oddFooter>
      </headerFooter>
    </customSheetView>
    <customSheetView guid="{9F00D83C-7F4F-41B5-9976-8610D9EBC976}" scale="90" showPageBreaks="1" showGridLines="0" fitToPage="1" printArea="1" topLeftCell="A25">
      <selection activeCell="E21" sqref="E21"/>
      <pageMargins left="0.5" right="0.75" top="0.75" bottom="0.75" header="0.5" footer="0.25"/>
      <printOptions horizontalCentered="1"/>
      <pageSetup scale="21" firstPageNumber="9" orientation="landscape" useFirstPageNumber="1" r:id="rId5"/>
      <headerFooter scaleWithDoc="0" alignWithMargins="0">
        <oddFooter>&amp;C&amp;8&amp;P</oddFooter>
      </headerFooter>
    </customSheetView>
    <customSheetView guid="{D1467C25-646C-4F1A-9353-0E890E575522}" scale="90" showPageBreaks="1" showGridLines="0" fitToPage="1" printArea="1" topLeftCell="A28">
      <selection activeCell="G58" sqref="G58"/>
      <pageMargins left="0.5" right="0.75" top="0.75" bottom="0.75" header="0.5" footer="0.25"/>
      <printOptions horizontalCentered="1"/>
      <pageSetup scale="15" firstPageNumber="9" orientation="landscape" useFirstPageNumber="1" r:id="rId6"/>
      <headerFooter scaleWithDoc="0" alignWithMargins="0">
        <oddFooter>&amp;C&amp;8&amp;P</oddFooter>
      </headerFooter>
    </customSheetView>
    <customSheetView guid="{3A50DD26-AAF5-43D4-97DE-BAE3367A2F29}" scale="90" showPageBreaks="1" showGridLines="0" fitToPage="1" printArea="1" topLeftCell="A13">
      <selection activeCell="C16" sqref="C16:E16"/>
      <pageMargins left="0.5" right="0.75" top="0.75" bottom="0.75" header="0.5" footer="0.25"/>
      <printOptions horizontalCentered="1"/>
      <pageSetup scale="10" firstPageNumber="9" orientation="landscape" useFirstPageNumber="1" r:id="rId7"/>
      <headerFooter scaleWithDoc="0" alignWithMargins="0">
        <oddFooter>&amp;C&amp;8&amp;P</oddFooter>
      </headerFooter>
    </customSheetView>
    <customSheetView guid="{C3636880-B45B-4897-94F2-F91976416934}" scale="90" showPageBreaks="1" showGridLines="0" fitToPage="1" printArea="1" topLeftCell="A25">
      <selection activeCell="E21" sqref="E21"/>
      <pageMargins left="0.5" right="0.75" top="0.75" bottom="0.75" header="0.5" footer="0.25"/>
      <printOptions horizontalCentered="1"/>
      <pageSetup scale="58" firstPageNumber="9" orientation="landscape" useFirstPageNumber="1" r:id="rId8"/>
      <headerFooter scaleWithDoc="0" alignWithMargins="0">
        <oddFooter>&amp;C&amp;8&amp;P</oddFooter>
      </headerFooter>
    </customSheetView>
  </customSheetViews>
  <mergeCells count="1">
    <mergeCell ref="C11:I11"/>
  </mergeCells>
  <printOptions horizontalCentered="1"/>
  <pageMargins left="0.5" right="0.75" top="0.75" bottom="0.75" header="0.5" footer="0.25"/>
  <pageSetup scale="58" firstPageNumber="9" orientation="landscape" useFirstPageNumber="1" r:id="rId9"/>
  <headerFooter scaleWithDoc="0" alignWithMargins="0">
    <oddFooter>&amp;C&amp;8&amp;P</oddFooter>
  </headerFooter>
  <customProperties>
    <customPr name="SheetOptions" r:id="rId10"/>
  </customProperties>
  <ignoredErrors>
    <ignoredError sqref="A5:A6"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BC5A07894B434DAABEEF9DAC7F3B7C" ma:contentTypeVersion="3" ma:contentTypeDescription="Create a new document." ma:contentTypeScope="" ma:versionID="b22c02717cd97273d64e3183f1a1bd32">
  <xsd:schema xmlns:xsd="http://www.w3.org/2001/XMLSchema" xmlns:xs="http://www.w3.org/2001/XMLSchema" xmlns:p="http://schemas.microsoft.com/office/2006/metadata/properties" xmlns:ns2="8fda17da-e5d9-4d32-a55d-baf9667a0fe3" targetNamespace="http://schemas.microsoft.com/office/2006/metadata/properties" ma:root="true" ma:fieldsID="9fa875e197c56b60fa02a2f01e15e81a" ns2:_="">
    <xsd:import namespace="8fda17da-e5d9-4d32-a55d-baf9667a0fe3"/>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da17da-e5d9-4d32-a55d-baf9667a0f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E0649D-D54D-48A8-8939-7C6576A22736}">
  <ds:schemaRefs>
    <ds:schemaRef ds:uri="http://purl.org/dc/terms/"/>
    <ds:schemaRef ds:uri="http://schemas.microsoft.com/office/2006/documentManagement/types"/>
    <ds:schemaRef ds:uri="8fda17da-e5d9-4d32-a55d-baf9667a0fe3"/>
    <ds:schemaRef ds:uri="http://schemas.microsoft.com/office/2006/metadata/properties"/>
    <ds:schemaRef ds:uri="http://purl.org/dc/dcmitype/"/>
    <ds:schemaRef ds:uri="http://www.w3.org/XML/1998/namespac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F96F98C0-FFE8-4D1C-B442-3DDB521AF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da17da-e5d9-4d32-a55d-baf9667a0f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A28046-206C-46D9-BB5E-9202E75C76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lhennessey@osc.ny.gov</dc:creator>
  <cp:keywords/>
  <dc:description/>
  <cp:lastModifiedBy>Stephen N Raptoulis</cp:lastModifiedBy>
  <cp:revision/>
  <cp:lastPrinted>2026-07-14T11:56:07Z</cp:lastPrinted>
  <dcterms:created xsi:type="dcterms:W3CDTF">2022-10-13T16:17:17Z</dcterms:created>
  <dcterms:modified xsi:type="dcterms:W3CDTF">2026-07-15T17:52:24Z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0x01010082BC5A07894B434DAABEEF9DAC7F3B7C</vt:lpwstr>
  </property>
  <property fmtid="{D5CDD505-2E9C-101B-9397-08002B2CF9AE}" pid="5" name="MSIP_Label_f7bddef3-8e59-45c1-bdac-d5d24c730409_Enabled">
    <vt:lpwstr>true</vt:lpwstr>
  </property>
  <property fmtid="{D5CDD505-2E9C-101B-9397-08002B2CF9AE}" pid="6" name="MSIP_Label_f7bddef3-8e59-45c1-bdac-d5d24c730409_SetDate">
    <vt:lpwstr>2026-07-15T17:41:37Z</vt:lpwstr>
  </property>
  <property fmtid="{D5CDD505-2E9C-101B-9397-08002B2CF9AE}" pid="7" name="MSIP_Label_f7bddef3-8e59-45c1-bdac-d5d24c730409_Method">
    <vt:lpwstr>Privileged</vt:lpwstr>
  </property>
  <property fmtid="{D5CDD505-2E9C-101B-9397-08002B2CF9AE}" pid="8" name="MSIP_Label_f7bddef3-8e59-45c1-bdac-d5d24c730409_Name">
    <vt:lpwstr>Public</vt:lpwstr>
  </property>
  <property fmtid="{D5CDD505-2E9C-101B-9397-08002B2CF9AE}" pid="9" name="MSIP_Label_f7bddef3-8e59-45c1-bdac-d5d24c730409_SiteId">
    <vt:lpwstr>23b2cc00-e776-44cb-a980-c7c90c455026</vt:lpwstr>
  </property>
  <property fmtid="{D5CDD505-2E9C-101B-9397-08002B2CF9AE}" pid="10" name="MSIP_Label_f7bddef3-8e59-45c1-bdac-d5d24c730409_ActionId">
    <vt:lpwstr>d03c17bc-f394-48ff-9955-0be37bbb145f</vt:lpwstr>
  </property>
  <property fmtid="{D5CDD505-2E9C-101B-9397-08002B2CF9AE}" pid="11" name="MSIP_Label_f7bddef3-8e59-45c1-bdac-d5d24c730409_ContentBits">
    <vt:lpwstr>0</vt:lpwstr>
  </property>
  <property fmtid="{D5CDD505-2E9C-101B-9397-08002B2CF9AE}" pid="12" name="MSIP_Label_f7bddef3-8e59-45c1-bdac-d5d24c730409_Tag">
    <vt:lpwstr>10, 0, 1, 1</vt:lpwstr>
  </property>
</Properties>
</file>