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bitz\Desktop\"/>
    </mc:Choice>
  </mc:AlternateContent>
  <xr:revisionPtr revIDLastSave="0" documentId="8_{1F032AA8-E057-46B4-B766-935DA5F247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mpt Payment Interest Calc" sheetId="3" r:id="rId1"/>
  </sheets>
  <definedNames>
    <definedName name="Holiday15">'Prompt Payment Interest Calc'!$A$40:$C$50</definedName>
    <definedName name="Holiday30">'Prompt Payment Interest Calc'!$A$28:$C$38</definedName>
    <definedName name="HolidayEx">'Prompt Payment Interest Calc'!$D$28:$D$38</definedName>
    <definedName name="Holidays">'Prompt Payment Interest Calc'!$A$27:$C$38</definedName>
    <definedName name="Methods">'Prompt Payment Interest Calc'!$A$33:$A$34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3" l="1"/>
  <c r="B27" i="3"/>
  <c r="B32" i="3" s="1"/>
  <c r="D17" i="3"/>
  <c r="D15" i="3"/>
  <c r="D16" i="3" s="1"/>
  <c r="A39" i="3"/>
  <c r="A44" i="3" s="1"/>
  <c r="B47" i="3" l="1"/>
  <c r="B44" i="3"/>
  <c r="C39" i="3"/>
  <c r="B42" i="3"/>
  <c r="A43" i="3"/>
  <c r="A48" i="3"/>
  <c r="A40" i="3"/>
  <c r="A45" i="3"/>
  <c r="A49" i="3"/>
  <c r="A41" i="3"/>
  <c r="A46" i="3"/>
  <c r="A50" i="3"/>
  <c r="A42" i="3"/>
  <c r="A47" i="3"/>
  <c r="B46" i="3"/>
  <c r="B50" i="3"/>
  <c r="B41" i="3"/>
  <c r="B49" i="3"/>
  <c r="B45" i="3"/>
  <c r="B40" i="3"/>
  <c r="B48" i="3"/>
  <c r="B43" i="3"/>
  <c r="A27" i="3"/>
  <c r="B28" i="3"/>
  <c r="B17" i="3" l="1"/>
  <c r="C43" i="3"/>
  <c r="C44" i="3"/>
  <c r="C27" i="3"/>
  <c r="C32" i="3" s="1"/>
  <c r="A32" i="3"/>
  <c r="C45" i="3"/>
  <c r="C47" i="3"/>
  <c r="C50" i="3"/>
  <c r="C46" i="3"/>
  <c r="C40" i="3"/>
  <c r="C42" i="3"/>
  <c r="C41" i="3"/>
  <c r="C48" i="3"/>
  <c r="C49" i="3"/>
  <c r="A29" i="3"/>
  <c r="B31" i="3"/>
  <c r="B36" i="3"/>
  <c r="B35" i="3"/>
  <c r="B30" i="3"/>
  <c r="B38" i="3"/>
  <c r="B34" i="3"/>
  <c r="B29" i="3"/>
  <c r="B37" i="3"/>
  <c r="B33" i="3"/>
  <c r="A38" i="3"/>
  <c r="A31" i="3"/>
  <c r="A28" i="3"/>
  <c r="A33" i="3"/>
  <c r="A36" i="3"/>
  <c r="A37" i="3"/>
  <c r="A34" i="3"/>
  <c r="A30" i="3"/>
  <c r="A35" i="3"/>
  <c r="C38" i="3" l="1"/>
  <c r="C35" i="3"/>
  <c r="B15" i="3"/>
  <c r="B16" i="3" s="1"/>
  <c r="C29" i="3"/>
  <c r="C34" i="3"/>
  <c r="C30" i="3"/>
  <c r="C37" i="3"/>
  <c r="C33" i="3"/>
  <c r="C28" i="3"/>
  <c r="C31" i="3"/>
  <c r="C36" i="3"/>
  <c r="C15" i="3" l="1"/>
  <c r="C16" i="3" s="1"/>
  <c r="C17" i="3"/>
  <c r="D18" i="3"/>
  <c r="D19" i="3" s="1"/>
  <c r="D20" i="3" l="1"/>
  <c r="D22" i="3" s="1"/>
  <c r="B18" i="3"/>
  <c r="B19" i="3" s="1"/>
  <c r="C18" i="3"/>
  <c r="C19" i="3" s="1"/>
  <c r="D21" i="3" l="1"/>
  <c r="B20" i="3"/>
  <c r="B22" i="3" s="1"/>
  <c r="C20" i="3"/>
  <c r="C22" i="3" s="1"/>
  <c r="B21" i="3" l="1"/>
  <c r="C21" i="3"/>
</calcChain>
</file>

<file path=xl/sharedStrings.xml><?xml version="1.0" encoding="utf-8"?>
<sst xmlns="http://schemas.openxmlformats.org/spreadsheetml/2006/main" count="34" uniqueCount="34">
  <si>
    <t>Payment Amount</t>
  </si>
  <si>
    <t>MIR Date</t>
  </si>
  <si>
    <t>Inputs</t>
  </si>
  <si>
    <t>Outputs</t>
  </si>
  <si>
    <t>Days Late</t>
  </si>
  <si>
    <t>Total Interest Owed</t>
  </si>
  <si>
    <t>BU</t>
  </si>
  <si>
    <t>Voucher</t>
  </si>
  <si>
    <t>Months</t>
  </si>
  <si>
    <t xml:space="preserve">Days </t>
  </si>
  <si>
    <t>No</t>
  </si>
  <si>
    <t>-</t>
  </si>
  <si>
    <t>Sunday</t>
  </si>
  <si>
    <t>Saturday</t>
  </si>
  <si>
    <t>Yes</t>
  </si>
  <si>
    <t>NYS Prompt Payment Interest Calculator</t>
  </si>
  <si>
    <t>Beginning March 30, 2017, prompt payment interest is due to small businesses defined in State Finance Law, Section 179(f) 15 days after the MIR date.</t>
  </si>
  <si>
    <t>Per State Finance Law, Section 179-f, prompt payment interest is due to businesses 30 days after the MIR date.</t>
  </si>
  <si>
    <t>Example</t>
  </si>
  <si>
    <t>Calculator For 15-day Interest</t>
  </si>
  <si>
    <t>Calculator For 30-day Interest</t>
  </si>
  <si>
    <t>OSC01</t>
  </si>
  <si>
    <t>0123456</t>
  </si>
  <si>
    <t>Directions: Fill in all yellow boxes in the appropriate calculator to determine the amount due to the vendor pursuant to State Finance Law Section 179-f.</t>
  </si>
  <si>
    <t>Payment Creation Date</t>
  </si>
  <si>
    <t>Payment Date</t>
  </si>
  <si>
    <t>Payment Method (i.e., Check, ACH)</t>
  </si>
  <si>
    <t>Check</t>
  </si>
  <si>
    <t>Net Due Date</t>
  </si>
  <si>
    <t>Legal Holidays</t>
  </si>
  <si>
    <t>Holidays between MIR &amp; Net Due Dates</t>
  </si>
  <si>
    <t>Interest Rate:</t>
  </si>
  <si>
    <t>The following example is based on a business that is owed prompt payment interest for a $200,000 invoice that was paid on 7/16/25 by check, and the voucher's MIR date is 6/2/25.</t>
  </si>
  <si>
    <t>This calculator uses the current interest rate for prompt payment interest. Effective 7/1/2026, the current rate is 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</si>
</sst>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Down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3" fillId="0" borderId="2" xfId="0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/>
    </xf>
    <xf numFmtId="44" fontId="3" fillId="0" borderId="2" xfId="0" applyNumberFormat="1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left" indent="2"/>
    </xf>
    <xf numFmtId="14" fontId="3" fillId="0" borderId="6" xfId="0" applyNumberFormat="1" applyFont="1" applyBorder="1" applyAlignment="1">
      <alignment horizontal="right"/>
    </xf>
    <xf numFmtId="164" fontId="3" fillId="0" borderId="2" xfId="1" applyNumberFormat="1" applyFont="1" applyFill="1" applyBorder="1" applyProtection="1"/>
    <xf numFmtId="164" fontId="4" fillId="0" borderId="2" xfId="1" applyNumberFormat="1" applyFont="1" applyFill="1" applyBorder="1" applyAlignment="1" applyProtection="1">
      <alignment horizontal="right"/>
    </xf>
    <xf numFmtId="49" fontId="3" fillId="3" borderId="6" xfId="0" applyNumberFormat="1" applyFont="1" applyFill="1" applyBorder="1" applyAlignment="1" applyProtection="1">
      <alignment horizontal="right"/>
      <protection locked="0"/>
    </xf>
    <xf numFmtId="49" fontId="3" fillId="3" borderId="2" xfId="0" applyNumberFormat="1" applyFont="1" applyFill="1" applyBorder="1" applyAlignment="1" applyProtection="1">
      <alignment horizontal="right"/>
      <protection locked="0"/>
    </xf>
    <xf numFmtId="14" fontId="3" fillId="3" borderId="2" xfId="0" applyNumberFormat="1" applyFont="1" applyFill="1" applyBorder="1" applyProtection="1">
      <protection locked="0"/>
    </xf>
    <xf numFmtId="14" fontId="3" fillId="3" borderId="6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/>
    <xf numFmtId="14" fontId="7" fillId="3" borderId="6" xfId="0" applyNumberFormat="1" applyFont="1" applyFill="1" applyBorder="1" applyAlignment="1" applyProtection="1">
      <alignment horizontal="right"/>
      <protection locked="0"/>
    </xf>
    <xf numFmtId="164" fontId="3" fillId="0" borderId="2" xfId="1" applyNumberFormat="1" applyFont="1" applyFill="1" applyBorder="1" applyAlignment="1" applyProtection="1">
      <alignment horizontal="right"/>
    </xf>
    <xf numFmtId="9" fontId="3" fillId="0" borderId="0" xfId="3" applyFont="1" applyProtection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/>
    <xf numFmtId="0" fontId="3" fillId="2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 indent="2"/>
    </xf>
    <xf numFmtId="37" fontId="3" fillId="0" borderId="2" xfId="1" applyNumberFormat="1" applyFont="1" applyFill="1" applyBorder="1" applyProtection="1"/>
    <xf numFmtId="14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44" fontId="3" fillId="0" borderId="3" xfId="0" applyNumberFormat="1" applyFont="1" applyBorder="1" applyAlignment="1">
      <alignment horizontal="right"/>
    </xf>
    <xf numFmtId="44" fontId="3" fillId="0" borderId="3" xfId="0" applyNumberFormat="1" applyFont="1" applyBorder="1"/>
    <xf numFmtId="14" fontId="3" fillId="0" borderId="0" xfId="0" applyNumberFormat="1" applyFont="1" applyAlignment="1">
      <alignment horizontal="right"/>
    </xf>
    <xf numFmtId="44" fontId="3" fillId="3" borderId="0" xfId="2" applyFont="1" applyFill="1" applyProtection="1">
      <protection locked="0"/>
    </xf>
    <xf numFmtId="44" fontId="3" fillId="3" borderId="2" xfId="2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90" zoomScaleNormal="90" workbookViewId="0">
      <selection activeCell="B8" sqref="B8"/>
    </sheetView>
  </sheetViews>
  <sheetFormatPr defaultColWidth="9.140625" defaultRowHeight="14.25" x14ac:dyDescent="0.2"/>
  <cols>
    <col min="1" max="1" width="39.85546875" style="1" customWidth="1"/>
    <col min="2" max="2" width="31.5703125" style="1" customWidth="1"/>
    <col min="3" max="3" width="33.5703125" style="1" customWidth="1"/>
    <col min="4" max="4" width="36.28515625" style="1" customWidth="1"/>
    <col min="5" max="5" width="16.28515625" style="1" customWidth="1"/>
    <col min="6" max="6" width="9.140625" style="1"/>
    <col min="7" max="7" width="9.140625" style="1" customWidth="1"/>
    <col min="8" max="8" width="8.7109375" style="1" hidden="1" customWidth="1"/>
    <col min="9" max="9" width="4" style="1" hidden="1" customWidth="1"/>
    <col min="10" max="10" width="9.140625" style="1" hidden="1" customWidth="1"/>
    <col min="11" max="11" width="13.5703125" style="1" hidden="1" customWidth="1"/>
    <col min="12" max="14" width="9.140625" style="1" hidden="1" customWidth="1"/>
    <col min="15" max="16384" width="9.140625" style="1"/>
  </cols>
  <sheetData>
    <row r="1" spans="1:12" ht="18" x14ac:dyDescent="0.25">
      <c r="A1" s="40" t="s">
        <v>15</v>
      </c>
      <c r="B1" s="40"/>
      <c r="C1" s="40"/>
      <c r="D1" s="40"/>
      <c r="K1" s="1" t="s">
        <v>31</v>
      </c>
      <c r="L1" s="18">
        <v>0.06</v>
      </c>
    </row>
    <row r="2" spans="1:12" x14ac:dyDescent="0.2">
      <c r="A2" s="41" t="s">
        <v>33</v>
      </c>
      <c r="B2" s="41"/>
      <c r="C2" s="41"/>
      <c r="D2" s="41"/>
      <c r="E2" s="41"/>
    </row>
    <row r="3" spans="1:12" ht="31.15" customHeight="1" x14ac:dyDescent="0.2">
      <c r="A3" s="38" t="s">
        <v>23</v>
      </c>
      <c r="B3" s="39"/>
      <c r="C3" s="39"/>
      <c r="D3" s="39"/>
    </row>
    <row r="4" spans="1:12" ht="15" customHeight="1" x14ac:dyDescent="0.2">
      <c r="A4" s="19"/>
      <c r="B4" s="20"/>
    </row>
    <row r="5" spans="1:12" ht="15" customHeight="1" x14ac:dyDescent="0.25">
      <c r="B5" s="21" t="s">
        <v>19</v>
      </c>
      <c r="C5" s="21" t="s">
        <v>20</v>
      </c>
      <c r="D5" s="21" t="s">
        <v>18</v>
      </c>
    </row>
    <row r="6" spans="1:12" ht="61.15" customHeight="1" x14ac:dyDescent="0.2">
      <c r="B6" s="22" t="s">
        <v>16</v>
      </c>
      <c r="C6" s="22" t="s">
        <v>17</v>
      </c>
      <c r="D6" s="23" t="s">
        <v>32</v>
      </c>
      <c r="E6" s="24"/>
      <c r="F6" s="24"/>
    </row>
    <row r="7" spans="1:12" ht="15" x14ac:dyDescent="0.25">
      <c r="A7" s="25" t="s">
        <v>2</v>
      </c>
      <c r="B7" s="26"/>
      <c r="C7" s="27"/>
      <c r="D7" s="27"/>
      <c r="E7" s="24"/>
      <c r="F7" s="24"/>
      <c r="H7" s="1" t="s">
        <v>11</v>
      </c>
      <c r="I7" s="1" t="s">
        <v>14</v>
      </c>
    </row>
    <row r="8" spans="1:12" x14ac:dyDescent="0.2">
      <c r="A8" s="7" t="s">
        <v>6</v>
      </c>
      <c r="B8" s="11"/>
      <c r="C8" s="12"/>
      <c r="D8" s="3" t="s">
        <v>21</v>
      </c>
      <c r="E8" s="2"/>
      <c r="F8" s="2"/>
      <c r="G8" s="2"/>
      <c r="H8" s="1" t="s">
        <v>12</v>
      </c>
      <c r="I8" s="1" t="s">
        <v>10</v>
      </c>
      <c r="J8" s="2"/>
      <c r="K8" s="2"/>
    </row>
    <row r="9" spans="1:12" x14ac:dyDescent="0.2">
      <c r="A9" s="7" t="s">
        <v>7</v>
      </c>
      <c r="B9" s="11"/>
      <c r="C9" s="11"/>
      <c r="D9" s="4" t="s">
        <v>22</v>
      </c>
      <c r="H9" s="1" t="s">
        <v>13</v>
      </c>
    </row>
    <row r="10" spans="1:12" x14ac:dyDescent="0.2">
      <c r="A10" s="7" t="s">
        <v>0</v>
      </c>
      <c r="B10" s="36"/>
      <c r="C10" s="37"/>
      <c r="D10" s="5">
        <v>200000</v>
      </c>
    </row>
    <row r="11" spans="1:12" x14ac:dyDescent="0.2">
      <c r="A11" s="7" t="s">
        <v>1</v>
      </c>
      <c r="B11" s="13"/>
      <c r="C11" s="13"/>
      <c r="D11" s="6">
        <v>46143</v>
      </c>
      <c r="E11" s="15"/>
    </row>
    <row r="12" spans="1:12" x14ac:dyDescent="0.2">
      <c r="A12" s="7" t="s">
        <v>26</v>
      </c>
      <c r="B12" s="16"/>
      <c r="C12" s="14"/>
      <c r="D12" s="8" t="s">
        <v>27</v>
      </c>
    </row>
    <row r="13" spans="1:12" x14ac:dyDescent="0.2">
      <c r="A13" s="7" t="s">
        <v>25</v>
      </c>
      <c r="B13" s="13"/>
      <c r="C13" s="13"/>
      <c r="D13" s="6">
        <v>46204</v>
      </c>
    </row>
    <row r="14" spans="1:12" ht="15" x14ac:dyDescent="0.25">
      <c r="A14" s="28" t="s">
        <v>3</v>
      </c>
      <c r="B14" s="26"/>
      <c r="C14" s="27"/>
      <c r="D14" s="27"/>
    </row>
    <row r="15" spans="1:12" ht="28.5" x14ac:dyDescent="0.2">
      <c r="A15" s="29" t="s">
        <v>30</v>
      </c>
      <c r="B15" s="30">
        <f>SUMPRODUCT((Holiday15&gt;=B11)*(Holiday15&lt;=(B11+14)))</f>
        <v>2</v>
      </c>
      <c r="C15" s="30">
        <f>SUMPRODUCT((Holiday30&gt;=C11)*(Holiday30&lt;=(C11+29)))</f>
        <v>4</v>
      </c>
      <c r="D15" s="30">
        <f>SUMPRODUCT((HolidayEx&gt;=D11)*(HolidayEx&lt;=(D11+29)))</f>
        <v>0</v>
      </c>
    </row>
    <row r="16" spans="1:12" x14ac:dyDescent="0.2">
      <c r="A16" s="7" t="s">
        <v>28</v>
      </c>
      <c r="B16" s="6">
        <f>IF((WORKDAY(B11+15+B15-1,1,Holiday15)=(B11+15+B15)),(B11+15+B15),WORKDAY((B11+15+B15),1,Holiday15))</f>
        <v>17</v>
      </c>
      <c r="C16" s="6">
        <f>IF((WORKDAY(C11+30+C15-1,1,Holiday30)=(C11+30+C15)),(C11+30+C15),WORKDAY((C11+30+C15),1,Holiday30))</f>
        <v>34</v>
      </c>
      <c r="D16" s="6">
        <f>IF((WORKDAY(D11+30+D15-1,1,HolidayEx)=(D11+30+D15)),(D11+30+D15),WORKDAY((D11+30+D15),1,HolidayEx))</f>
        <v>46174</v>
      </c>
    </row>
    <row r="17" spans="1:5" x14ac:dyDescent="0.2">
      <c r="A17" s="7" t="s">
        <v>24</v>
      </c>
      <c r="B17" s="31" t="e">
        <f>IF(B12="Check",B13,WORKDAY(B13,-2,Holiday15))</f>
        <v>#NUM!</v>
      </c>
      <c r="C17" s="31" t="e">
        <f>IF(C12="Check",C13,WORKDAY(C13,-2,Holiday30))</f>
        <v>#NUM!</v>
      </c>
      <c r="D17" s="6">
        <f>IF(D12="Check",D13,WORKDAY(D13,-2,HolidayEx))</f>
        <v>46204</v>
      </c>
    </row>
    <row r="18" spans="1:5" x14ac:dyDescent="0.2">
      <c r="A18" s="7" t="s">
        <v>4</v>
      </c>
      <c r="B18" s="17" t="e">
        <f>B17-B16</f>
        <v>#NUM!</v>
      </c>
      <c r="C18" s="17" t="e">
        <f>C17-C16</f>
        <v>#NUM!</v>
      </c>
      <c r="D18" s="9">
        <f>D17-D16</f>
        <v>30</v>
      </c>
    </row>
    <row r="19" spans="1:5" x14ac:dyDescent="0.2">
      <c r="A19" s="7" t="s">
        <v>8</v>
      </c>
      <c r="B19" s="17" t="e">
        <f>TRUNC(B18/30)</f>
        <v>#NUM!</v>
      </c>
      <c r="C19" s="17" t="e">
        <f>TRUNC(C18/30)</f>
        <v>#NUM!</v>
      </c>
      <c r="D19" s="9">
        <f>TRUNC(D18/30)</f>
        <v>1</v>
      </c>
    </row>
    <row r="20" spans="1:5" x14ac:dyDescent="0.2">
      <c r="A20" s="7" t="s">
        <v>9</v>
      </c>
      <c r="B20" s="17" t="e">
        <f>B18-(B19*30)</f>
        <v>#NUM!</v>
      </c>
      <c r="C20" s="17" t="e">
        <f>C18-(C19*30)</f>
        <v>#NUM!</v>
      </c>
      <c r="D20" s="9">
        <f>D18-(D19*30)</f>
        <v>0</v>
      </c>
    </row>
    <row r="21" spans="1:5" ht="15" x14ac:dyDescent="0.25">
      <c r="A21" s="7"/>
      <c r="B21" s="10" t="e">
        <f>IF(B22=0,"No Interest Owed",IF(B22&lt;10,"No Interest Owed - Less than $10","Interest Owed"))</f>
        <v>#NUM!</v>
      </c>
      <c r="C21" s="10" t="e">
        <f>IF(C22=0,"No Interest Owed",IF(C22&lt;10,"No Interest Owed - Less than $10","Interest Owed"))</f>
        <v>#NUM!</v>
      </c>
      <c r="D21" s="10" t="str">
        <f>IF(D22=0,"No Interest Owed",IF(D22&lt;10,"No Interest Owed - Less than $10","Interest Owed"))</f>
        <v>Interest Owed</v>
      </c>
    </row>
    <row r="22" spans="1:5" x14ac:dyDescent="0.2">
      <c r="A22" s="32" t="s">
        <v>5</v>
      </c>
      <c r="B22" s="33" t="e">
        <f>IF((B10*(1+$L$1/12)^B19*(1+($L$1/360*B20))-B10)&lt;0,0,B10*(1+$L$1/12)^B19*(1+($L$1/360*B20))-B10)</f>
        <v>#NUM!</v>
      </c>
      <c r="C22" s="33" t="e">
        <f>IF((C10*(1+$L$1/12)^C19*(1+($L$1/360*C20))-C10)&lt;0,0,C10*(1+$L$1/12)^C19*(1+($L$1/360*C20))-C10)</f>
        <v>#NUM!</v>
      </c>
      <c r="D22" s="34">
        <f>IF((D10*(1+$L$1/12)^D19*(1+($L$1/360*D20))-D10)&lt;0,0,D10*(1+$L$1/12)^D19*(1+($L$1/360*D20))-D10)</f>
        <v>999.9999999999709</v>
      </c>
    </row>
    <row r="25" spans="1:5" hidden="1" x14ac:dyDescent="0.2">
      <c r="C25" s="15"/>
    </row>
    <row r="26" spans="1:5" hidden="1" x14ac:dyDescent="0.2">
      <c r="A26" s="41" t="s">
        <v>29</v>
      </c>
      <c r="B26" s="41"/>
      <c r="C26" s="41"/>
      <c r="D26" s="41"/>
      <c r="E26" s="41"/>
    </row>
    <row r="27" spans="1:5" hidden="1" x14ac:dyDescent="0.2">
      <c r="A27" s="1">
        <f>YEAR(C11)</f>
        <v>1900</v>
      </c>
      <c r="B27" s="1" t="str">
        <f>IF(YEAR(C13)=YEAR(C11), "0",YEAR(C13))</f>
        <v>0</v>
      </c>
      <c r="C27" s="1">
        <f>IF((A27+1)=B27,"0",(A27+1))</f>
        <v>1901</v>
      </c>
      <c r="E27" s="15"/>
    </row>
    <row r="28" spans="1:5" hidden="1" x14ac:dyDescent="0.2">
      <c r="A28" s="15">
        <f>IF((WEEKDAY(DATE(A27,1,1)))=7,DATE(A27-1,12,31),IF((WEEKDAY(DATE(A27,1,1)))=1,DATE(A27,1,2),DATE(A27,1,1)))</f>
        <v>2</v>
      </c>
      <c r="B28" s="15">
        <f>IF((WEEKDAY(DATE(B27,1,1)))=7,DATE(B27-1,12,31),IF((WEEKDAY(DATE(B27,1,1)))=1,DATE(B27,1,2),DATE(B27,1,1)))</f>
        <v>2</v>
      </c>
      <c r="C28" s="15">
        <f>IF((WEEKDAY(DATE(C27,1,1)))=7,DATE(C27-1,12,31),IF((WEEKDAY(DATE(C27,1,1)))=1,DATE(C27,1,2),DATE(C27,1,1)))</f>
        <v>367</v>
      </c>
      <c r="D28" s="35">
        <v>45658</v>
      </c>
    </row>
    <row r="29" spans="1:5" hidden="1" x14ac:dyDescent="0.2">
      <c r="A29" s="15">
        <f>DATE(A27,1,1)+14+CHOOSE(WEEKDAY(DATE(A27,1,1)),1,0,6,5,4,3,2)</f>
        <v>16</v>
      </c>
      <c r="B29" s="15">
        <f>DATE(B27,1,1)+14+CHOOSE(WEEKDAY(DATE(B27,1,1)),1,0,6,5,4,3,2)</f>
        <v>16</v>
      </c>
      <c r="C29" s="15">
        <f>DATE(C27,1,1)+14+CHOOSE(WEEKDAY(DATE(C27,1,1)),1,0,6,5,4,3,2)</f>
        <v>387</v>
      </c>
      <c r="D29" s="35">
        <v>45677</v>
      </c>
    </row>
    <row r="30" spans="1:5" hidden="1" x14ac:dyDescent="0.2">
      <c r="A30" s="15">
        <f>DATE(A27,2,1)+14+CHOOSE(WEEKDAY(DATE(A27,2,1)),1,0,6,5,4,3,2)</f>
        <v>51</v>
      </c>
      <c r="B30" s="15">
        <f>DATE(B27,2,1)+14+CHOOSE(WEEKDAY(DATE(B27,2,1)),1,0,6,5,4,3,2)</f>
        <v>51</v>
      </c>
      <c r="C30" s="15">
        <f>DATE(C27,2,1)+14+CHOOSE(WEEKDAY(DATE(C27,2,1)),1,0,6,5,4,3,2)</f>
        <v>415</v>
      </c>
      <c r="D30" s="35">
        <v>45705</v>
      </c>
    </row>
    <row r="31" spans="1:5" hidden="1" x14ac:dyDescent="0.2">
      <c r="A31" s="15">
        <f>DATE(A27,6,1)-WEEKDAY(DATE(A27,6,6))</f>
        <v>149</v>
      </c>
      <c r="B31" s="15">
        <f>DATE(B27,6,1)-WEEKDAY(DATE(B27,6,6))</f>
        <v>149</v>
      </c>
      <c r="C31" s="15">
        <f>DATE(C27,6,1)-WEEKDAY(DATE(C27,6,6))</f>
        <v>513</v>
      </c>
      <c r="D31" s="35">
        <v>45803</v>
      </c>
    </row>
    <row r="32" spans="1:5" hidden="1" x14ac:dyDescent="0.2">
      <c r="A32" s="15">
        <f>IF((WEEKDAY(DATE(A27,6,19)))=7,DATE(A27,6,18),IF((WEEKDAY(DATE(A27,6,19)))=1,DATE(A27,6,20),DATE(A27,6,19)))</f>
        <v>171</v>
      </c>
      <c r="B32" s="15">
        <f>IF((WEEKDAY(DATE(B27,6,19)))=7,DATE(B27,6,18),IF((WEEKDAY(DATE(B27,6,19)))=1,DATE(B27,6,20),DATE(B27,6,19)))</f>
        <v>171</v>
      </c>
      <c r="C32" s="15">
        <f>IF((WEEKDAY(DATE(C27,6,19)))=7,DATE(C27,6,18),IF((WEEKDAY(DATE(C27,6,19)))=1,DATE(C27,6,20),DATE(C27,6,19)))</f>
        <v>536</v>
      </c>
      <c r="D32" s="35">
        <v>45827</v>
      </c>
    </row>
    <row r="33" spans="1:4" hidden="1" x14ac:dyDescent="0.2">
      <c r="A33" s="15">
        <f>IF((WEEKDAY(DATE(A27,7,4)))=7,DATE(A27,7,3),IF((WEEKDAY(DATE(A27,7,4)))=1,DATE(A27,7,5),DATE(A27,7,4)))</f>
        <v>186</v>
      </c>
      <c r="B33" s="15">
        <f>IF((WEEKDAY(DATE(B27,7,4)))=7,DATE(B27,7,3),IF((WEEKDAY(DATE(B27,7,4)))=1,DATE(B27,7,5),DATE(B27,7,4)))</f>
        <v>186</v>
      </c>
      <c r="C33" s="15">
        <f>IF((WEEKDAY(DATE(C27,7,4)))=7,DATE(C27,7,3),IF((WEEKDAY(DATE(C27,7,4)))=1,DATE(C27,7,5),DATE(C27,7,4)))</f>
        <v>551</v>
      </c>
      <c r="D33" s="35">
        <v>45842</v>
      </c>
    </row>
    <row r="34" spans="1:4" hidden="1" x14ac:dyDescent="0.2">
      <c r="A34" s="15">
        <f>DATE(A27,9,1)+CHOOSE(WEEKDAY(DATE(A27,9,1)),1,0,6,5,4,3,2)</f>
        <v>247</v>
      </c>
      <c r="B34" s="15">
        <f>DATE(B27,9,1)+CHOOSE(WEEKDAY(DATE(B27,9,1)),1,0,6,5,4,3,2)</f>
        <v>247</v>
      </c>
      <c r="C34" s="15">
        <f>DATE(C27,9,1)+CHOOSE(WEEKDAY(DATE(C27,9,1)),1,0,6,5,4,3,2)</f>
        <v>611</v>
      </c>
      <c r="D34" s="35">
        <v>45901</v>
      </c>
    </row>
    <row r="35" spans="1:4" hidden="1" x14ac:dyDescent="0.2">
      <c r="A35" s="15">
        <f>DATE(A27,10,1)+7+CHOOSE(WEEKDAY(DATE(A27,10,1)),1,0,6,5,4,3,2)</f>
        <v>282</v>
      </c>
      <c r="B35" s="15">
        <f>DATE(B27,10,1)+7+CHOOSE(WEEKDAY(DATE(B27,10,1)),1,0,6,5,4,3,2)</f>
        <v>282</v>
      </c>
      <c r="C35" s="15">
        <f>DATE(C27,10,1)+7+CHOOSE(WEEKDAY(DATE(C27,10,1)),1,0,6,5,4,3,2)</f>
        <v>653</v>
      </c>
      <c r="D35" s="35">
        <v>45943</v>
      </c>
    </row>
    <row r="36" spans="1:4" hidden="1" x14ac:dyDescent="0.2">
      <c r="A36" s="15">
        <f>IF((WEEKDAY(DATE(A27,11,11)))=7,DATE(A27,11,10),IF((WEEKDAY(DATE(A27,11,11)))=1,DATE(A27,11,12),DATE(A27,11,11)))</f>
        <v>317</v>
      </c>
      <c r="B36" s="15">
        <f>IF((WEEKDAY(DATE(B27,11,11)))=7,DATE(B27,11,10),IF((WEEKDAY(DATE(B27,11,11)))=1,DATE(B27,11,12),DATE(B27,11,11)))</f>
        <v>317</v>
      </c>
      <c r="C36" s="15">
        <f>IF((WEEKDAY(DATE(C27,11,11)))=7,DATE(C27,11,10),IF((WEEKDAY(DATE(C27,11,11)))=1,DATE(C27,11,12),DATE(C27,11,11)))</f>
        <v>681</v>
      </c>
      <c r="D36" s="35">
        <v>45972</v>
      </c>
    </row>
    <row r="37" spans="1:4" hidden="1" x14ac:dyDescent="0.2">
      <c r="A37" s="15">
        <f>DATE(A27,11,1)+21+CHOOSE(WEEKDAY(DATE(A27,11,1)),4,3,2,1,0,6,5)</f>
        <v>327</v>
      </c>
      <c r="B37" s="15">
        <f>DATE(B27,11,1)+21+CHOOSE(WEEKDAY(DATE(B27,11,1)),4,3,2,1,0,6,5)</f>
        <v>327</v>
      </c>
      <c r="C37" s="15">
        <f>DATE(C27,11,1)+21+CHOOSE(WEEKDAY(DATE(C27,11,1)),4,3,2,1,0,6,5)</f>
        <v>698</v>
      </c>
      <c r="D37" s="35">
        <v>45988</v>
      </c>
    </row>
    <row r="38" spans="1:4" hidden="1" x14ac:dyDescent="0.2">
      <c r="A38" s="15">
        <f>IF((WEEKDAY(DATE(A27,12,25)))=7,DATE(A27,12,24),IF((WEEKDAY(DATE(A27,12,25)))=1,DATE(A27,12,26),DATE(A27,12,25)))</f>
        <v>360</v>
      </c>
      <c r="B38" s="15">
        <f>IF((WEEKDAY(DATE(B27,12,25)))=7,DATE(B27,12,24),IF((WEEKDAY(DATE(B27,12,25)))=1,DATE(B27,12,26),DATE(B27,12,25)))</f>
        <v>360</v>
      </c>
      <c r="C38" s="15">
        <f>IF((WEEKDAY(DATE(C27,12,25)))=7,DATE(C27,12,24),IF((WEEKDAY(DATE(C27,12,25)))=1,DATE(C27,12,26),DATE(C27,12,25)))</f>
        <v>725</v>
      </c>
      <c r="D38" s="35">
        <v>46016</v>
      </c>
    </row>
    <row r="39" spans="1:4" hidden="1" x14ac:dyDescent="0.2">
      <c r="A39" s="1">
        <f>YEAR(B11)</f>
        <v>1900</v>
      </c>
      <c r="B39" s="1" t="str">
        <f>IF(YEAR(B11)=YEAR(B13), "0",YEAR(B13))</f>
        <v>0</v>
      </c>
      <c r="C39" s="1">
        <f>IF((A39+1)=B39,"0",(A39+1))</f>
        <v>1901</v>
      </c>
    </row>
    <row r="40" spans="1:4" hidden="1" x14ac:dyDescent="0.2">
      <c r="A40" s="15">
        <f>IF((WEEKDAY(DATE(A39,1,1)))=7,DATE(A39-1,12,31),IF((WEEKDAY(DATE(A39,1,1)))=1,DATE(A39,1,2),DATE(A39,1,1)))</f>
        <v>2</v>
      </c>
      <c r="B40" s="15">
        <f>IF((WEEKDAY(DATE(B39,1,1)))=7,DATE(B39-1,12,31),IF((WEEKDAY(DATE(B39,1,1)))=1,DATE(B39,1,2),DATE(B39,1,1)))</f>
        <v>2</v>
      </c>
      <c r="C40" s="15">
        <f>IF((WEEKDAY(DATE(C39,1,1)))=7,DATE(C39-1,12,31),IF((WEEKDAY(DATE(C39,1,1)))=1,DATE(C39,1,2),DATE(C39,1,1)))</f>
        <v>367</v>
      </c>
    </row>
    <row r="41" spans="1:4" hidden="1" x14ac:dyDescent="0.2">
      <c r="A41" s="15">
        <f>DATE(A39,1,1)+14+CHOOSE(WEEKDAY(DATE(A39,1,1)),1,0,6,5,4,3,2)</f>
        <v>16</v>
      </c>
      <c r="B41" s="15">
        <f>DATE(B39,1,1)+14+CHOOSE(WEEKDAY(DATE(B39,1,1)),1,0,6,5,4,3,2)</f>
        <v>16</v>
      </c>
      <c r="C41" s="15">
        <f>DATE(C39,1,1)+14+CHOOSE(WEEKDAY(DATE(C39,1,1)),1,0,6,5,4,3,2)</f>
        <v>387</v>
      </c>
    </row>
    <row r="42" spans="1:4" hidden="1" x14ac:dyDescent="0.2">
      <c r="A42" s="15">
        <f>DATE(A39,2,1)+14+CHOOSE(WEEKDAY(DATE(A39,2,1)),1,0,6,5,4,3,2)</f>
        <v>51</v>
      </c>
      <c r="B42" s="15">
        <f>DATE(B39,2,1)+14+CHOOSE(WEEKDAY(DATE(B39,2,1)),1,0,6,5,4,3,2)</f>
        <v>51</v>
      </c>
      <c r="C42" s="15">
        <f>DATE(C39,2,1)+14+CHOOSE(WEEKDAY(DATE(C39,2,1)),1,0,6,5,4,3,2)</f>
        <v>415</v>
      </c>
    </row>
    <row r="43" spans="1:4" hidden="1" x14ac:dyDescent="0.2">
      <c r="A43" s="15">
        <f>DATE(A39,6,1)-WEEKDAY(DATE(A39,6,6))</f>
        <v>149</v>
      </c>
      <c r="B43" s="15">
        <f>DATE(B39,6,1)-WEEKDAY(DATE(B39,6,6))</f>
        <v>149</v>
      </c>
      <c r="C43" s="15">
        <f>DATE(C39,6,1)-WEEKDAY(DATE(C39,6,6))</f>
        <v>513</v>
      </c>
    </row>
    <row r="44" spans="1:4" hidden="1" x14ac:dyDescent="0.2">
      <c r="A44" s="15">
        <f>IF((WEEKDAY(DATE(A39,6,19)))=7,DATE(A39,6,18),IF((WEEKDAY(DATE(A39,6,19)))=1,DATE(A39,6,20),DATE(A39,6,19)))</f>
        <v>171</v>
      </c>
      <c r="B44" s="15">
        <f>IF((WEEKDAY(DATE(B39,6,19)))=7,DATE(B39,6,18),IF((WEEKDAY(DATE(B39,6,19)))=1,DATE(B39,6,20),DATE(B39,6,19)))</f>
        <v>171</v>
      </c>
      <c r="C44" s="15">
        <f>IF((WEEKDAY(DATE(C39,6,19)))=7,DATE(C39,6,18),IF((WEEKDAY(DATE(C39,6,19)))=1,DATE(C39,6,20),DATE(C39,6,19)))</f>
        <v>536</v>
      </c>
    </row>
    <row r="45" spans="1:4" hidden="1" x14ac:dyDescent="0.2">
      <c r="A45" s="15">
        <f>IF((WEEKDAY(DATE(A39,7,4)))=7,DATE(A39,7,3),IF((WEEKDAY(DATE(A39,7,4)))=1,DATE(A39,7,5),DATE(A39,7,4)))</f>
        <v>186</v>
      </c>
      <c r="B45" s="15">
        <f>IF((WEEKDAY(DATE(B39,7,4)))=7,DATE(B39,7,3),IF((WEEKDAY(DATE(B39,7,4)))=1,DATE(B39,7,5),DATE(B39,7,4)))</f>
        <v>186</v>
      </c>
      <c r="C45" s="15">
        <f>IF((WEEKDAY(DATE(C39,7,4)))=7,DATE(C39,7,3),IF((WEEKDAY(DATE(C39,7,4)))=1,DATE(C39,7,5),DATE(C39,7,4)))</f>
        <v>551</v>
      </c>
    </row>
    <row r="46" spans="1:4" hidden="1" x14ac:dyDescent="0.2">
      <c r="A46" s="15">
        <f>DATE(A39,9,1)+CHOOSE(WEEKDAY(DATE(A39,9,1)),1,0,6,5,4,3,2)</f>
        <v>247</v>
      </c>
      <c r="B46" s="15">
        <f>DATE(B39,9,1)+CHOOSE(WEEKDAY(DATE(B39,9,1)),1,0,6,5,4,3,2)</f>
        <v>247</v>
      </c>
      <c r="C46" s="15">
        <f>DATE(C39,9,1)+CHOOSE(WEEKDAY(DATE(C39,9,1)),1,0,6,5,4,3,2)</f>
        <v>611</v>
      </c>
    </row>
    <row r="47" spans="1:4" hidden="1" x14ac:dyDescent="0.2">
      <c r="A47" s="15">
        <f>DATE(A39,10,1)+7+CHOOSE(WEEKDAY(DATE(A39,10,1)),1,0,6,5,4,3,2)</f>
        <v>282</v>
      </c>
      <c r="B47" s="15">
        <f>DATE(B39,10,1)+7+CHOOSE(WEEKDAY(DATE(B39,10,1)),1,0,6,5,4,3,2)</f>
        <v>282</v>
      </c>
      <c r="C47" s="15">
        <f>DATE(C39,10,1)+7+CHOOSE(WEEKDAY(DATE(C39,10,1)),1,0,6,5,4,3,2)</f>
        <v>653</v>
      </c>
    </row>
    <row r="48" spans="1:4" hidden="1" x14ac:dyDescent="0.2">
      <c r="A48" s="15">
        <f>IF((WEEKDAY(DATE(A39,11,11)))=7,DATE(A39,11,10),IF((WEEKDAY(DATE(A39,11,11)))=1,DATE(A39,11,12),DATE(A39,11,11)))</f>
        <v>317</v>
      </c>
      <c r="B48" s="15">
        <f>IF((WEEKDAY(DATE(B39,11,11)))=7,DATE(B39,11,10),IF((WEEKDAY(DATE(B39,11,11)))=1,DATE(B39,11,12),DATE(B39,11,11)))</f>
        <v>317</v>
      </c>
      <c r="C48" s="15">
        <f>IF((WEEKDAY(DATE(C39,11,11)))=7,DATE(C39,11,10),IF((WEEKDAY(DATE(C39,11,11)))=1,DATE(C39,11,12),DATE(C39,11,11)))</f>
        <v>681</v>
      </c>
    </row>
    <row r="49" spans="1:3" hidden="1" x14ac:dyDescent="0.2">
      <c r="A49" s="15">
        <f>DATE(A39,11,1)+21+CHOOSE(WEEKDAY(DATE(A39,11,1)),4,3,2,1,0,6,5)</f>
        <v>327</v>
      </c>
      <c r="B49" s="15">
        <f>DATE(B39,11,1)+21+CHOOSE(WEEKDAY(DATE(B39,11,1)),4,3,2,1,0,6,5)</f>
        <v>327</v>
      </c>
      <c r="C49" s="15">
        <f>DATE(C39,11,1)+21+CHOOSE(WEEKDAY(DATE(C39,11,1)),4,3,2,1,0,6,5)</f>
        <v>698</v>
      </c>
    </row>
    <row r="50" spans="1:3" hidden="1" x14ac:dyDescent="0.2">
      <c r="A50" s="15">
        <f>IF((WEEKDAY(DATE(A39,12,25)))=7,DATE(A39,12,24),IF((WEEKDAY(DATE(A39,12,25)))=1,DATE(A39,12,26),DATE(A39,12,25)))</f>
        <v>360</v>
      </c>
      <c r="B50" s="15">
        <f>IF((WEEKDAY(DATE(B39,12,25)))=7,DATE(B39,12,24),IF((WEEKDAY(DATE(B39,12,25)))=1,DATE(B39,12,26),DATE(B39,12,25)))</f>
        <v>360</v>
      </c>
      <c r="C50" s="15">
        <f>IF((WEEKDAY(DATE(C39,12,25)))=7,DATE(C39,12,24),IF((WEEKDAY(DATE(C39,12,25)))=1,DATE(C39,12,26),DATE(C39,12,25)))</f>
        <v>725</v>
      </c>
    </row>
    <row r="51" spans="1:3" hidden="1" x14ac:dyDescent="0.2"/>
  </sheetData>
  <sheetProtection sheet="1" objects="1" scenarios="1" selectLockedCells="1"/>
  <mergeCells count="4">
    <mergeCell ref="A3:D3"/>
    <mergeCell ref="A1:D1"/>
    <mergeCell ref="A26:E26"/>
    <mergeCell ref="A2:E2"/>
  </mergeCells>
  <dataValidations count="1">
    <dataValidation type="list" allowBlank="1" showInputMessage="1" showErrorMessage="1" sqref="B12:D12" xr:uid="{00000000-0002-0000-0000-000000000000}">
      <formula1>"ACH, Check"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Prompt Payment Interest Calc</vt:lpstr>
      <vt:lpstr>Holiday15</vt:lpstr>
      <vt:lpstr>Holiday30</vt:lpstr>
      <vt:lpstr>HolidayEx</vt:lpstr>
      <vt:lpstr>Holidays</vt:lpstr>
      <vt:lpstr>Methods</vt:lpstr>
    </vt:vector>
  </TitlesOfParts>
  <Company>OSC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kmassaconi</dc:creator>
  <cp:lastModifiedBy>Brian Rabitz</cp:lastModifiedBy>
  <cp:lastPrinted>2012-09-06T17:14:53Z</cp:lastPrinted>
  <dcterms:created xsi:type="dcterms:W3CDTF">2012-08-13T15:01:02Z</dcterms:created>
  <dcterms:modified xsi:type="dcterms:W3CDTF">2026-06-30T18:56:22Z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c376bc99-b2d9-4c72-8373-71b8b88f3815_Enabled">
    <vt:lpwstr>true</vt:lpwstr>
  </property>
  <property fmtid="{D5CDD505-2E9C-101B-9397-08002B2CF9AE}" pid="4" name="MSIP_Label_c376bc99-b2d9-4c72-8373-71b8b88f3815_SetDate">
    <vt:lpwstr>2025-10-17T12:00:02Z</vt:lpwstr>
  </property>
  <property fmtid="{D5CDD505-2E9C-101B-9397-08002B2CF9AE}" pid="5" name="MSIP_Label_c376bc99-b2d9-4c72-8373-71b8b88f3815_Method">
    <vt:lpwstr>Standard</vt:lpwstr>
  </property>
  <property fmtid="{D5CDD505-2E9C-101B-9397-08002B2CF9AE}" pid="6" name="MSIP_Label_c376bc99-b2d9-4c72-8373-71b8b88f3815_Name">
    <vt:lpwstr>Internal Use Only</vt:lpwstr>
  </property>
  <property fmtid="{D5CDD505-2E9C-101B-9397-08002B2CF9AE}" pid="7" name="MSIP_Label_c376bc99-b2d9-4c72-8373-71b8b88f3815_SiteId">
    <vt:lpwstr>23b2cc00-e776-44cb-a980-c7c90c455026</vt:lpwstr>
  </property>
  <property fmtid="{D5CDD505-2E9C-101B-9397-08002B2CF9AE}" pid="8" name="MSIP_Label_c376bc99-b2d9-4c72-8373-71b8b88f3815_ActionId">
    <vt:lpwstr>7bf057d9-7183-40b2-9978-acff09e8e77e</vt:lpwstr>
  </property>
  <property fmtid="{D5CDD505-2E9C-101B-9397-08002B2CF9AE}" pid="9" name="MSIP_Label_c376bc99-b2d9-4c72-8373-71b8b88f3815_ContentBits">
    <vt:lpwstr>0</vt:lpwstr>
  </property>
  <property fmtid="{D5CDD505-2E9C-101B-9397-08002B2CF9AE}" pid="10" name="MSIP_Label_c376bc99-b2d9-4c72-8373-71b8b88f3815_Tag">
    <vt:lpwstr>10, 3, 0, 1</vt:lpwstr>
  </property>
</Properties>
</file>